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435" activeTab="0"/>
  </bookViews>
  <sheets>
    <sheet name="Sheet1" sheetId="1" r:id="rId1"/>
  </sheets>
  <definedNames>
    <definedName name="_xlnm.Print_Area" localSheetId="0">'Sheet1'!$A$1:$L$112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<sst xmlns="http://schemas.openxmlformats.org/spreadsheetml/2006/main" count="205" uniqueCount="161">
  <si>
    <t>DEWING PARK RECREATION CLUB</t>
  </si>
  <si>
    <t>ANNUAL</t>
  </si>
  <si>
    <t>DESCRIPTION</t>
  </si>
  <si>
    <t>BUDGET</t>
  </si>
  <si>
    <t xml:space="preserve"> ----------------------------------------</t>
  </si>
  <si>
    <t xml:space="preserve"> ------------</t>
  </si>
  <si>
    <t xml:space="preserve">      OPERATING INCOME</t>
  </si>
  <si>
    <t>Dues</t>
  </si>
  <si>
    <t>Membership Rentals - Dewing</t>
  </si>
  <si>
    <t>Late Fees</t>
  </si>
  <si>
    <t>Guest Cards</t>
  </si>
  <si>
    <t>Party Area Rental Income</t>
  </si>
  <si>
    <t>Group Rental (Keyspot, etc)</t>
  </si>
  <si>
    <t>Swim Team Payroll Reimbursement</t>
  </si>
  <si>
    <t>Miscellaneous Income</t>
  </si>
  <si>
    <t xml:space="preserve">      TOTAL OPERATING INCOME</t>
  </si>
  <si>
    <t xml:space="preserve"> </t>
  </si>
  <si>
    <t xml:space="preserve">      OPERATING EXPENSES</t>
  </si>
  <si>
    <t>Janitorial supplies</t>
  </si>
  <si>
    <t>paper products, cleaning supplies</t>
  </si>
  <si>
    <t>Lifeguard supplies</t>
  </si>
  <si>
    <t>Pool Maintenance</t>
  </si>
  <si>
    <t>Pool Chemicals</t>
  </si>
  <si>
    <t>Pool Repairs</t>
  </si>
  <si>
    <t>Landscape Maintenance</t>
  </si>
  <si>
    <t>Landscape Planting, Repairs</t>
  </si>
  <si>
    <t>General Repairs &amp; Maintenance</t>
  </si>
  <si>
    <t xml:space="preserve">Garbage   </t>
  </si>
  <si>
    <t>Postage/Newsletter/Office Supplies</t>
  </si>
  <si>
    <t>Property/Liability Insurance</t>
  </si>
  <si>
    <t>Licenses, Permits</t>
  </si>
  <si>
    <t xml:space="preserve">      TOTAL OPERATING EXPENSE</t>
  </si>
  <si>
    <t>TOTAL OPERATING INCOME MINUS EXPENSE</t>
  </si>
  <si>
    <t xml:space="preserve">      OTHER INCOME</t>
  </si>
  <si>
    <t>New Member Fee</t>
  </si>
  <si>
    <t xml:space="preserve">      OTHER INCOME TOTAL</t>
  </si>
  <si>
    <t xml:space="preserve">      OTHER EXPENSE</t>
  </si>
  <si>
    <t>Capital Improvements</t>
  </si>
  <si>
    <t xml:space="preserve">      TOTAL OTHER EXPENSE</t>
  </si>
  <si>
    <t>TOTAL OTHER INCOME MINUS EXPENSE</t>
  </si>
  <si>
    <t xml:space="preserve">GRAND TOTAL OPERATING / OTHER </t>
  </si>
  <si>
    <t>Maintenance Fee</t>
  </si>
  <si>
    <t>Advertising</t>
  </si>
  <si>
    <t>Swim Lessons Income</t>
  </si>
  <si>
    <t>Employee Cost</t>
  </si>
  <si>
    <t xml:space="preserve">  Lifeguard Wages</t>
  </si>
  <si>
    <t xml:space="preserve">  Lifeguard Workmen's Comp</t>
  </si>
  <si>
    <t xml:space="preserve">  Lifeguard Payroll Taxes</t>
  </si>
  <si>
    <t xml:space="preserve">  Swim Team Payroll Taxes</t>
  </si>
  <si>
    <t xml:space="preserve">  Swim Team Workmens Comp</t>
  </si>
  <si>
    <t xml:space="preserve"> Total Employee Cost</t>
  </si>
  <si>
    <t>Utilities</t>
  </si>
  <si>
    <t xml:space="preserve">  Total Utilities</t>
  </si>
  <si>
    <t xml:space="preserve">  Electricity</t>
  </si>
  <si>
    <t xml:space="preserve">  Gas</t>
  </si>
  <si>
    <t xml:space="preserve">  Water         </t>
  </si>
  <si>
    <t>Taxes</t>
  </si>
  <si>
    <t>Maintenance Refund</t>
  </si>
  <si>
    <t xml:space="preserve">  Federal Corp. Taxes</t>
  </si>
  <si>
    <t xml:space="preserve">  Property Taxes</t>
  </si>
  <si>
    <t xml:space="preserve">  State Corp. Taxes</t>
  </si>
  <si>
    <t xml:space="preserve">  Total Taxes</t>
  </si>
  <si>
    <t xml:space="preserve">  Swim Team Wages</t>
  </si>
  <si>
    <t>ACTUALS</t>
  </si>
  <si>
    <t xml:space="preserve">  Swim Lesson Wages</t>
  </si>
  <si>
    <t>Deck Furniture</t>
  </si>
  <si>
    <t>includes D&amp;O liability</t>
  </si>
  <si>
    <t>Scoials for Pool</t>
  </si>
  <si>
    <t>Gate Keys</t>
  </si>
  <si>
    <t>banner, etc.</t>
  </si>
  <si>
    <t>Income not from dues</t>
  </si>
  <si>
    <t>includes P.O. Box,enews</t>
  </si>
  <si>
    <t>Gate Key</t>
  </si>
  <si>
    <t>Dues Refund</t>
  </si>
  <si>
    <t>Hold Fee</t>
  </si>
  <si>
    <t>Splash Fee</t>
  </si>
  <si>
    <t xml:space="preserve">  Spring Clinic Costs Reimbursement</t>
  </si>
  <si>
    <t xml:space="preserve">Gatehouse/first aid supplies </t>
  </si>
  <si>
    <t>Bookkeeping/Administration</t>
  </si>
  <si>
    <t xml:space="preserve">    Credit card process. fees</t>
  </si>
  <si>
    <t xml:space="preserve">  lawn</t>
  </si>
  <si>
    <t xml:space="preserve">  deck cracks/uneven surfaces</t>
  </si>
  <si>
    <t>non-pool repairs (deck cracks, paint,,,)</t>
  </si>
  <si>
    <t>Payroll,tax,work.comp,snackshackperm,trash</t>
  </si>
  <si>
    <t>informational filing fee</t>
  </si>
  <si>
    <t>Reserves as of  December 31</t>
  </si>
  <si>
    <t xml:space="preserve"> credit card reg. fees</t>
  </si>
  <si>
    <t>based on 2015, 2013</t>
  </si>
  <si>
    <t xml:space="preserve">  Greeter</t>
  </si>
  <si>
    <t xml:space="preserve">  Greeter Payroll Tax</t>
  </si>
  <si>
    <t>Member Socials</t>
  </si>
  <si>
    <t>WiFi</t>
  </si>
  <si>
    <t>Repairs Loan Interest</t>
  </si>
  <si>
    <t>Repairs Loan Principal</t>
  </si>
  <si>
    <t>20 @ $10</t>
  </si>
  <si>
    <t>2.5%ann.increase</t>
  </si>
  <si>
    <t>$150x12mo.book;$100x12mo.payrll;$2000aq.sup.</t>
  </si>
  <si>
    <t xml:space="preserve">  Plaster/tile Re-do 2017,2018</t>
  </si>
  <si>
    <t xml:space="preserve">  Main pool heater </t>
  </si>
  <si>
    <t>Checking account balance,</t>
  </si>
  <si>
    <t>Assessment - Plaster repairs</t>
  </si>
  <si>
    <t xml:space="preserve">  Tiles</t>
  </si>
  <si>
    <t xml:space="preserve">  Family Fridays</t>
  </si>
  <si>
    <t xml:space="preserve">  Tiles Events</t>
  </si>
  <si>
    <t>new plants and irrig. repairs</t>
  </si>
  <si>
    <t>$280x12 months+extra watering, trimming</t>
  </si>
  <si>
    <t>bigger expense in 2018</t>
  </si>
  <si>
    <t xml:space="preserve">  shade structure</t>
  </si>
  <si>
    <t xml:space="preserve">  parking lot resurface/sealcoat/stripe</t>
  </si>
  <si>
    <t>Reserve Account Contribution</t>
  </si>
  <si>
    <t>replaced in 2015 for $23,400</t>
  </si>
  <si>
    <t>replaced in 2015 for $16,200</t>
  </si>
  <si>
    <t xml:space="preserve">   Other</t>
  </si>
  <si>
    <t>Maintenance (pool sweep, restrooms, tarps)</t>
  </si>
  <si>
    <t>$654x12 months+$2000 start up+$1600 filters</t>
  </si>
  <si>
    <t>resurface part of deck</t>
  </si>
  <si>
    <t>second half shade done</t>
  </si>
  <si>
    <t>Morgan-Bonanno bid</t>
  </si>
  <si>
    <t>Repairs Loan</t>
  </si>
  <si>
    <t>Set up reserves for parking lot maintenance, etc.</t>
  </si>
  <si>
    <t xml:space="preserve">Parking lot maintenance: 22,898 sf times $.25 per sf high estimate is $5,725 to sealcoat, needed every 3 years at minimum. </t>
  </si>
  <si>
    <t xml:space="preserve">                                     $3,000 estimate to stripe after sealcoat, needed every 3 years. </t>
  </si>
  <si>
    <t xml:space="preserve">                                     $8,725 needed every 3 years for seal/stripe.</t>
  </si>
  <si>
    <t xml:space="preserve">  electrical repairs</t>
  </si>
  <si>
    <t>receptacles, switches, capacity, wiring</t>
  </si>
  <si>
    <t>misc.repairs+6995 tarps+5196 new sweep</t>
  </si>
  <si>
    <t>Repairs Loan Parking Lot Interest</t>
  </si>
  <si>
    <t>Repairs Loan Parking Lot Principal</t>
  </si>
  <si>
    <r>
      <t xml:space="preserve">2021 BUDGET  -  </t>
    </r>
    <r>
      <rPr>
        <b/>
        <sz val="10"/>
        <rFont val="Arial Narrow"/>
        <family val="2"/>
      </rPr>
      <t>DRAFT #1  Jan 25 2021</t>
    </r>
  </si>
  <si>
    <t>2020 was Keyspot from 2019; no groups 2021</t>
  </si>
  <si>
    <t>health dept.;CA Non-Prof Corp Filing;Use Permit</t>
  </si>
  <si>
    <t>Squares</t>
  </si>
  <si>
    <t>$75 x 12</t>
  </si>
  <si>
    <t>includes $100,000 loan 6/2017</t>
  </si>
  <si>
    <t>Parking Lot Repairs Donations</t>
  </si>
  <si>
    <t>and $50,000 loan 1/2020</t>
  </si>
  <si>
    <t>Repairs Loan Fees 2017, 2020</t>
  </si>
  <si>
    <t>$100K loan funded 6/2017,$50K 1/2020</t>
  </si>
  <si>
    <t xml:space="preserve">103 members x $625 </t>
  </si>
  <si>
    <t>Notes for 2021 - continued restrictions</t>
  </si>
  <si>
    <t>10x $175</t>
  </si>
  <si>
    <t>waived 2021</t>
  </si>
  <si>
    <t>2 x $150</t>
  </si>
  <si>
    <t>not allowed 2021</t>
  </si>
  <si>
    <t>not in 2021</t>
  </si>
  <si>
    <t>similar to 2020</t>
  </si>
  <si>
    <t>restrictted pool use, small can only</t>
  </si>
  <si>
    <t>greeters open gate</t>
  </si>
  <si>
    <t xml:space="preserve">first aid, pens, </t>
  </si>
  <si>
    <t>no guards 2021</t>
  </si>
  <si>
    <t>2020 hours level</t>
  </si>
  <si>
    <t>based on 2020 - chem price incr.</t>
  </si>
  <si>
    <t>based on 2020 (ran pump 12 mo.)</t>
  </si>
  <si>
    <t xml:space="preserve">based on 2020  </t>
  </si>
  <si>
    <t>based on 2020</t>
  </si>
  <si>
    <t>4 members x $525</t>
  </si>
  <si>
    <t>150 members x $50; 2018-2023</t>
  </si>
  <si>
    <t>$43.75/month,</t>
  </si>
  <si>
    <t xml:space="preserve">$87.49/month </t>
  </si>
  <si>
    <t xml:space="preserve">$1,731.87/month </t>
  </si>
  <si>
    <t xml:space="preserve">$885.63/month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</si>
</sst>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u val="singleAccounting"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2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9" fillId="0" borderId="0" xfId="0" applyFont="1" applyAlignment="1">
      <alignment shrinkToFit="1"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@%20$1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workbookViewId="0" topLeftCell="A1">
      <selection activeCell="B108" sqref="B108"/>
    </sheetView>
  </sheetViews>
  <sheetFormatPr defaultColWidth="9.140625" defaultRowHeight="12.75"/>
  <cols>
    <col min="1" max="1" width="35.7109375" style="0" customWidth="1"/>
    <col min="2" max="10" width="8.7109375" style="0" customWidth="1"/>
    <col min="11" max="11" width="2.7109375" style="0" customWidth="1"/>
    <col min="12" max="12" width="28.7109375" style="0" customWidth="1"/>
  </cols>
  <sheetData>
    <row r="1" spans="1:17" ht="12.75">
      <c r="A1" s="1" t="s">
        <v>0</v>
      </c>
      <c r="B1" s="2">
        <v>2021</v>
      </c>
      <c r="C1" s="1"/>
      <c r="D1" s="2">
        <v>2020</v>
      </c>
      <c r="E1" s="2" t="s">
        <v>16</v>
      </c>
      <c r="F1" s="2">
        <v>2019</v>
      </c>
      <c r="G1" s="1" t="s">
        <v>16</v>
      </c>
      <c r="H1" s="2">
        <v>2018</v>
      </c>
      <c r="I1" s="2"/>
      <c r="J1" s="2">
        <v>2017</v>
      </c>
      <c r="K1" s="1"/>
      <c r="L1" s="1"/>
      <c r="M1" s="1"/>
      <c r="N1" s="1"/>
      <c r="O1" s="1"/>
      <c r="P1" s="1"/>
      <c r="Q1" s="1"/>
    </row>
    <row r="2" spans="1:17" ht="12.75">
      <c r="A2" s="1" t="s">
        <v>128</v>
      </c>
      <c r="B2" s="2" t="s">
        <v>1</v>
      </c>
      <c r="C2" s="2">
        <v>2020</v>
      </c>
      <c r="D2" s="2" t="s">
        <v>1</v>
      </c>
      <c r="E2" s="2">
        <v>2019</v>
      </c>
      <c r="F2" s="2" t="s">
        <v>1</v>
      </c>
      <c r="G2" s="2">
        <v>2018</v>
      </c>
      <c r="H2" s="2" t="s">
        <v>1</v>
      </c>
      <c r="I2" s="2">
        <v>2017</v>
      </c>
      <c r="J2" s="2" t="s">
        <v>1</v>
      </c>
      <c r="K2" s="1" t="s">
        <v>16</v>
      </c>
      <c r="L2" s="1"/>
      <c r="M2" s="1"/>
      <c r="N2" s="1"/>
      <c r="O2" s="1"/>
      <c r="P2" s="1"/>
      <c r="Q2" s="1"/>
    </row>
    <row r="3" spans="1:17" ht="12.75">
      <c r="A3" s="3" t="s">
        <v>2</v>
      </c>
      <c r="B3" s="2" t="s">
        <v>3</v>
      </c>
      <c r="C3" s="2" t="s">
        <v>63</v>
      </c>
      <c r="D3" s="2" t="s">
        <v>3</v>
      </c>
      <c r="E3" s="2" t="s">
        <v>63</v>
      </c>
      <c r="F3" s="2" t="s">
        <v>3</v>
      </c>
      <c r="G3" s="2" t="s">
        <v>63</v>
      </c>
      <c r="H3" s="2" t="s">
        <v>3</v>
      </c>
      <c r="I3" s="2" t="s">
        <v>63</v>
      </c>
      <c r="J3" s="2" t="s">
        <v>3</v>
      </c>
      <c r="K3" s="1" t="s">
        <v>16</v>
      </c>
      <c r="L3" s="3" t="s">
        <v>139</v>
      </c>
      <c r="M3" s="1"/>
      <c r="N3" s="1"/>
      <c r="O3" s="1"/>
      <c r="P3" s="1"/>
      <c r="Q3" s="1"/>
    </row>
    <row r="4" spans="1:17" ht="12.75">
      <c r="A4" s="3" t="s">
        <v>4</v>
      </c>
      <c r="B4" s="2" t="s">
        <v>5</v>
      </c>
      <c r="C4" s="2" t="s">
        <v>5</v>
      </c>
      <c r="D4" s="2" t="s">
        <v>5</v>
      </c>
      <c r="E4" s="2" t="s">
        <v>5</v>
      </c>
      <c r="F4" s="2" t="s">
        <v>5</v>
      </c>
      <c r="G4" s="2" t="s">
        <v>5</v>
      </c>
      <c r="H4" s="2" t="s">
        <v>5</v>
      </c>
      <c r="I4" s="2" t="s">
        <v>5</v>
      </c>
      <c r="J4" s="2" t="s">
        <v>5</v>
      </c>
      <c r="K4" s="2" t="s">
        <v>16</v>
      </c>
      <c r="L4" s="3" t="s">
        <v>5</v>
      </c>
      <c r="M4" s="1"/>
      <c r="N4" s="1"/>
      <c r="O4" s="1"/>
      <c r="P4" s="1"/>
      <c r="Q4" s="1"/>
    </row>
    <row r="5" spans="1:17" ht="12.7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</row>
    <row r="6" spans="1:17" ht="12.75">
      <c r="A6" s="3" t="s">
        <v>7</v>
      </c>
      <c r="B6" s="9">
        <f>103*625</f>
        <v>64375</v>
      </c>
      <c r="C6" s="9">
        <v>64402.5</v>
      </c>
      <c r="D6" s="9">
        <f>173*625</f>
        <v>108125</v>
      </c>
      <c r="E6" s="9">
        <v>106950</v>
      </c>
      <c r="F6" s="9">
        <f>173*625</f>
        <v>108125</v>
      </c>
      <c r="G6" s="9">
        <v>108587.5</v>
      </c>
      <c r="H6" s="9">
        <f>160*625</f>
        <v>100000</v>
      </c>
      <c r="I6" s="9">
        <v>90175</v>
      </c>
      <c r="J6" s="9">
        <f>525*132</f>
        <v>69300</v>
      </c>
      <c r="K6" s="1"/>
      <c r="L6" s="1" t="s">
        <v>138</v>
      </c>
      <c r="M6" s="1"/>
      <c r="N6" s="1"/>
      <c r="O6" s="1"/>
      <c r="P6" s="1"/>
      <c r="Q6" s="1"/>
    </row>
    <row r="7" spans="1:17" ht="12.75">
      <c r="A7" s="3" t="s">
        <v>72</v>
      </c>
      <c r="B7" s="9">
        <f>20*10</f>
        <v>200</v>
      </c>
      <c r="C7" s="9">
        <v>0</v>
      </c>
      <c r="D7" s="9">
        <f>20*10</f>
        <v>200</v>
      </c>
      <c r="E7" s="9">
        <v>280</v>
      </c>
      <c r="F7" s="9">
        <f>20*10</f>
        <v>200</v>
      </c>
      <c r="G7" s="9">
        <v>220</v>
      </c>
      <c r="H7" s="9">
        <f>20*10</f>
        <v>200</v>
      </c>
      <c r="I7" s="9">
        <v>200</v>
      </c>
      <c r="J7" s="9">
        <v>100</v>
      </c>
      <c r="K7" s="1"/>
      <c r="L7" s="1" t="s">
        <v>94</v>
      </c>
      <c r="M7" s="1"/>
      <c r="N7" s="1"/>
      <c r="O7" s="1"/>
      <c r="P7" s="1"/>
      <c r="Q7" s="1"/>
    </row>
    <row r="8" spans="1:17" ht="13.5">
      <c r="A8" s="3" t="s">
        <v>12</v>
      </c>
      <c r="B8" s="9">
        <v>0</v>
      </c>
      <c r="C8" s="9">
        <v>1125</v>
      </c>
      <c r="D8" s="9">
        <f>1250+480</f>
        <v>1730</v>
      </c>
      <c r="E8" s="9">
        <v>348</v>
      </c>
      <c r="F8" s="9">
        <f>1250+480</f>
        <v>1730</v>
      </c>
      <c r="G8" s="9">
        <v>1455</v>
      </c>
      <c r="H8" s="9">
        <f>1250+480</f>
        <v>1730</v>
      </c>
      <c r="I8" s="9">
        <v>1722</v>
      </c>
      <c r="J8" s="9">
        <f>1100+800</f>
        <v>1900</v>
      </c>
      <c r="K8" s="1"/>
      <c r="L8" s="6" t="s">
        <v>129</v>
      </c>
      <c r="M8" s="1"/>
      <c r="N8" s="1"/>
      <c r="O8" s="1"/>
      <c r="P8" s="1"/>
      <c r="Q8" s="1"/>
    </row>
    <row r="9" spans="1:17" ht="12.75">
      <c r="A9" s="3" t="s">
        <v>10</v>
      </c>
      <c r="B9" s="9">
        <v>0</v>
      </c>
      <c r="C9" s="9">
        <v>0</v>
      </c>
      <c r="D9" s="9">
        <f>185*3</f>
        <v>555</v>
      </c>
      <c r="E9" s="9">
        <v>331</v>
      </c>
      <c r="F9" s="9">
        <f>185*3</f>
        <v>555</v>
      </c>
      <c r="G9" s="9">
        <v>549.25</v>
      </c>
      <c r="H9" s="9">
        <f>200*3</f>
        <v>600</v>
      </c>
      <c r="I9" s="9">
        <v>755</v>
      </c>
      <c r="J9" s="9">
        <f>25*25</f>
        <v>625</v>
      </c>
      <c r="K9" s="1"/>
      <c r="L9" s="1">
        <v>0</v>
      </c>
      <c r="M9" s="1"/>
      <c r="N9" s="1"/>
      <c r="O9" s="1"/>
      <c r="P9" s="1"/>
      <c r="Q9" s="1"/>
    </row>
    <row r="10" spans="1:17" ht="12.75">
      <c r="A10" s="3" t="s">
        <v>74</v>
      </c>
      <c r="B10" s="9">
        <f>10*175</f>
        <v>1750</v>
      </c>
      <c r="C10" s="9">
        <v>3525</v>
      </c>
      <c r="D10" s="9">
        <v>250</v>
      </c>
      <c r="E10" s="9">
        <v>375</v>
      </c>
      <c r="F10" s="9">
        <v>250</v>
      </c>
      <c r="G10" s="9">
        <v>0</v>
      </c>
      <c r="H10" s="9">
        <v>250</v>
      </c>
      <c r="I10" s="9">
        <v>250</v>
      </c>
      <c r="J10" s="9">
        <v>250</v>
      </c>
      <c r="K10" s="1"/>
      <c r="L10" s="4" t="s">
        <v>140</v>
      </c>
      <c r="M10" s="1"/>
      <c r="N10" s="1"/>
      <c r="O10" s="1"/>
      <c r="P10" s="1"/>
      <c r="Q10" s="1"/>
    </row>
    <row r="11" spans="1:17" ht="12.75">
      <c r="A11" s="3" t="s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"/>
      <c r="L11" s="1" t="s">
        <v>16</v>
      </c>
      <c r="M11" s="1"/>
      <c r="N11" s="1"/>
      <c r="O11" s="1"/>
      <c r="P11" s="1"/>
      <c r="Q11" s="1"/>
    </row>
    <row r="12" spans="1:17" ht="12.75">
      <c r="A12" s="3" t="s">
        <v>41</v>
      </c>
      <c r="B12" s="9">
        <v>0</v>
      </c>
      <c r="C12" s="9">
        <v>2400</v>
      </c>
      <c r="D12" s="9">
        <f>148*150</f>
        <v>22200</v>
      </c>
      <c r="E12" s="9">
        <v>20000</v>
      </c>
      <c r="F12" s="9">
        <f>148*150</f>
        <v>22200</v>
      </c>
      <c r="G12" s="9">
        <v>22210</v>
      </c>
      <c r="H12" s="9">
        <f>130*150</f>
        <v>19500</v>
      </c>
      <c r="I12" s="9">
        <v>19240</v>
      </c>
      <c r="J12" s="9">
        <f>150*94</f>
        <v>14100</v>
      </c>
      <c r="K12" s="1"/>
      <c r="L12" s="1" t="s">
        <v>141</v>
      </c>
      <c r="M12" s="1"/>
      <c r="N12" s="1"/>
      <c r="O12" s="1"/>
      <c r="P12" s="1"/>
      <c r="Q12" s="1"/>
    </row>
    <row r="13" spans="1:17" ht="12.75">
      <c r="A13" s="3" t="s">
        <v>8</v>
      </c>
      <c r="B13" s="9">
        <f>2*150</f>
        <v>300</v>
      </c>
      <c r="C13" s="9">
        <v>150</v>
      </c>
      <c r="D13" s="9">
        <f>22*150</f>
        <v>3300</v>
      </c>
      <c r="E13" s="9">
        <v>3900</v>
      </c>
      <c r="F13" s="9">
        <f>22*150</f>
        <v>3300</v>
      </c>
      <c r="G13" s="9">
        <v>3375</v>
      </c>
      <c r="H13" s="9">
        <f>35*150</f>
        <v>5250</v>
      </c>
      <c r="I13" s="9">
        <v>5775</v>
      </c>
      <c r="J13" s="9">
        <f>32*150</f>
        <v>4800</v>
      </c>
      <c r="K13" s="1"/>
      <c r="L13" s="1" t="s">
        <v>142</v>
      </c>
      <c r="M13" s="1"/>
      <c r="N13" s="1"/>
      <c r="O13" s="1"/>
      <c r="P13" s="1"/>
      <c r="Q13" s="1"/>
    </row>
    <row r="14" spans="1:17" ht="13.5">
      <c r="A14" s="3" t="s">
        <v>14</v>
      </c>
      <c r="B14" s="9">
        <v>100</v>
      </c>
      <c r="C14" s="9">
        <v>200</v>
      </c>
      <c r="D14" s="9">
        <v>100</v>
      </c>
      <c r="E14" s="9">
        <v>2529.59</v>
      </c>
      <c r="F14" s="9">
        <v>100</v>
      </c>
      <c r="G14" s="9">
        <v>100</v>
      </c>
      <c r="H14" s="9">
        <v>300</v>
      </c>
      <c r="I14" s="9">
        <v>364</v>
      </c>
      <c r="J14" s="9">
        <v>500</v>
      </c>
      <c r="K14" s="1"/>
      <c r="L14" s="5" t="s">
        <v>16</v>
      </c>
      <c r="M14" s="1"/>
      <c r="N14" s="1"/>
      <c r="O14" s="1"/>
      <c r="P14" s="1"/>
      <c r="Q14" s="1"/>
    </row>
    <row r="15" spans="1:17" ht="12.75">
      <c r="A15" s="3" t="s">
        <v>11</v>
      </c>
      <c r="B15" s="9">
        <v>0</v>
      </c>
      <c r="C15" s="9">
        <v>165</v>
      </c>
      <c r="D15" s="9">
        <v>3000</v>
      </c>
      <c r="E15" s="9">
        <v>2925</v>
      </c>
      <c r="F15" s="9">
        <v>3000</v>
      </c>
      <c r="G15" s="9">
        <v>3030</v>
      </c>
      <c r="H15" s="9">
        <v>2500</v>
      </c>
      <c r="I15" s="9">
        <v>2621</v>
      </c>
      <c r="J15" s="9">
        <f>(18*25)+150</f>
        <v>600</v>
      </c>
      <c r="K15" s="1"/>
      <c r="L15" s="1" t="s">
        <v>143</v>
      </c>
      <c r="M15" s="1"/>
      <c r="N15" s="1"/>
      <c r="O15" s="1"/>
      <c r="P15" s="1"/>
      <c r="Q15" s="1"/>
    </row>
    <row r="16" spans="1:17" ht="12.75">
      <c r="A16" s="3" t="s">
        <v>67</v>
      </c>
      <c r="B16" s="8"/>
      <c r="C16" s="9"/>
      <c r="D16" s="8"/>
      <c r="E16" s="9"/>
      <c r="F16" s="9"/>
      <c r="G16" s="9"/>
      <c r="H16" s="9"/>
      <c r="I16" s="9"/>
      <c r="J16" s="9"/>
      <c r="K16" s="1"/>
      <c r="L16" s="1" t="s">
        <v>16</v>
      </c>
      <c r="M16" s="1"/>
      <c r="N16" s="1"/>
      <c r="O16" s="1"/>
      <c r="P16" s="1"/>
      <c r="Q16" s="1"/>
    </row>
    <row r="17" spans="1:17" ht="12.75">
      <c r="A17" s="3" t="s">
        <v>112</v>
      </c>
      <c r="B17" s="9">
        <v>1550</v>
      </c>
      <c r="C17" s="9">
        <v>1550</v>
      </c>
      <c r="D17" s="9">
        <v>500</v>
      </c>
      <c r="E17" s="9">
        <v>1079.11</v>
      </c>
      <c r="F17" s="9"/>
      <c r="G17" s="9"/>
      <c r="H17" s="9"/>
      <c r="I17" s="9">
        <v>118</v>
      </c>
      <c r="J17" s="9">
        <v>0</v>
      </c>
      <c r="K17" s="1"/>
      <c r="L17" s="1" t="s">
        <v>131</v>
      </c>
      <c r="M17" s="1"/>
      <c r="N17" s="1"/>
      <c r="O17" s="1"/>
      <c r="P17" s="1"/>
      <c r="Q17" s="1"/>
    </row>
    <row r="18" spans="1:17" ht="12.75">
      <c r="A18" s="3" t="s">
        <v>101</v>
      </c>
      <c r="B18" s="9">
        <v>0</v>
      </c>
      <c r="C18" s="9">
        <v>0</v>
      </c>
      <c r="D18" s="9">
        <v>0</v>
      </c>
      <c r="E18" s="9">
        <v>50</v>
      </c>
      <c r="F18" s="9">
        <v>3800</v>
      </c>
      <c r="G18" s="9">
        <v>3800</v>
      </c>
      <c r="H18" s="9"/>
      <c r="I18" s="9"/>
      <c r="J18" s="9"/>
      <c r="K18" s="1"/>
      <c r="L18" s="1"/>
      <c r="M18" s="1"/>
      <c r="N18" s="1"/>
      <c r="O18" s="1"/>
      <c r="P18" s="1"/>
      <c r="Q18" s="1"/>
    </row>
    <row r="19" spans="1:17" ht="12.75">
      <c r="A19" s="3" t="s">
        <v>75</v>
      </c>
      <c r="B19" s="9">
        <v>0</v>
      </c>
      <c r="C19" s="9">
        <v>250</v>
      </c>
      <c r="D19" s="9">
        <f>10*125</f>
        <v>1250</v>
      </c>
      <c r="E19" s="9">
        <v>1025</v>
      </c>
      <c r="F19" s="9">
        <f>10*125</f>
        <v>1250</v>
      </c>
      <c r="G19" s="9">
        <v>1325</v>
      </c>
      <c r="H19" s="9">
        <f>15*125</f>
        <v>1875</v>
      </c>
      <c r="I19" s="9">
        <v>1800</v>
      </c>
      <c r="J19" s="9">
        <v>1500</v>
      </c>
      <c r="K19" s="1"/>
      <c r="L19" s="1" t="s">
        <v>144</v>
      </c>
      <c r="M19" s="1"/>
      <c r="N19" s="1"/>
      <c r="O19" s="1"/>
      <c r="P19" s="1"/>
      <c r="Q19" s="1"/>
    </row>
    <row r="20" spans="1:17" ht="12.75">
      <c r="A20" s="3" t="s">
        <v>43</v>
      </c>
      <c r="B20" s="9">
        <v>0</v>
      </c>
      <c r="C20" s="9">
        <v>0</v>
      </c>
      <c r="D20" s="9">
        <v>9000</v>
      </c>
      <c r="E20" s="9">
        <v>9880</v>
      </c>
      <c r="F20" s="9">
        <v>8100</v>
      </c>
      <c r="G20" s="9">
        <v>8100</v>
      </c>
      <c r="H20" s="9">
        <v>3225</v>
      </c>
      <c r="I20" s="9">
        <v>3225</v>
      </c>
      <c r="J20" s="9">
        <v>0</v>
      </c>
      <c r="K20" s="1"/>
      <c r="L20" s="1" t="s">
        <v>144</v>
      </c>
      <c r="M20" s="1"/>
      <c r="N20" s="1"/>
      <c r="O20" s="1"/>
      <c r="P20" s="1"/>
      <c r="Q20" s="1"/>
    </row>
    <row r="21" spans="1:17" ht="12.75">
      <c r="A21" s="3" t="s">
        <v>13</v>
      </c>
      <c r="B21" s="9">
        <v>24225</v>
      </c>
      <c r="C21" s="9">
        <v>24225.18</v>
      </c>
      <c r="D21" s="9">
        <v>55955</v>
      </c>
      <c r="E21" s="9">
        <v>55955</v>
      </c>
      <c r="F21" s="18">
        <f>52000+4195</f>
        <v>56195</v>
      </c>
      <c r="G21" s="9">
        <v>51799.19</v>
      </c>
      <c r="H21" s="9">
        <v>45506</v>
      </c>
      <c r="I21" s="9">
        <v>45506.44</v>
      </c>
      <c r="J21" s="9">
        <f>8685+28107+1602</f>
        <v>38394</v>
      </c>
      <c r="K21" s="1"/>
      <c r="L21" s="13" t="s">
        <v>83</v>
      </c>
      <c r="M21" s="1"/>
      <c r="N21" s="1"/>
      <c r="O21" s="1"/>
      <c r="P21" s="1"/>
      <c r="Q21" s="1"/>
    </row>
    <row r="22" spans="1:17" ht="12.75">
      <c r="A22" s="3" t="s">
        <v>76</v>
      </c>
      <c r="B22" s="10">
        <v>0</v>
      </c>
      <c r="C22" s="10">
        <v>0</v>
      </c>
      <c r="D22" s="10">
        <v>3446</v>
      </c>
      <c r="E22" s="10">
        <v>3446</v>
      </c>
      <c r="F22" s="10">
        <v>888</v>
      </c>
      <c r="G22" s="10">
        <v>0</v>
      </c>
      <c r="H22" s="10">
        <v>888</v>
      </c>
      <c r="I22" s="10">
        <v>887.55</v>
      </c>
      <c r="J22" s="10">
        <v>800</v>
      </c>
      <c r="K22" s="1"/>
      <c r="L22" s="1" t="s">
        <v>144</v>
      </c>
      <c r="M22" s="1"/>
      <c r="N22" s="1"/>
      <c r="O22" s="1"/>
      <c r="P22" s="1"/>
      <c r="Q22" s="1"/>
    </row>
    <row r="23" spans="1:17" ht="12.75">
      <c r="A23" s="3" t="s">
        <v>15</v>
      </c>
      <c r="B23" s="9">
        <f aca="true" t="shared" si="0" ref="B23:J23">SUM(B6:B22)</f>
        <v>92500</v>
      </c>
      <c r="C23" s="9">
        <f>SUM(C6:C22)</f>
        <v>97992.68</v>
      </c>
      <c r="D23" s="9">
        <f t="shared" si="0"/>
        <v>209611</v>
      </c>
      <c r="E23" s="9">
        <f>SUM(E6:E22)</f>
        <v>209073.69999999998</v>
      </c>
      <c r="F23" s="9">
        <f t="shared" si="0"/>
        <v>209693</v>
      </c>
      <c r="G23" s="9">
        <f t="shared" si="0"/>
        <v>204550.94</v>
      </c>
      <c r="H23" s="9">
        <f t="shared" si="0"/>
        <v>181824</v>
      </c>
      <c r="I23" s="9">
        <f t="shared" si="0"/>
        <v>172638.99</v>
      </c>
      <c r="J23" s="9">
        <f t="shared" si="0"/>
        <v>132869</v>
      </c>
      <c r="K23" s="1"/>
      <c r="L23" s="1"/>
      <c r="M23" s="1"/>
      <c r="N23" s="1"/>
      <c r="O23" s="1"/>
      <c r="P23" s="1"/>
      <c r="Q23" s="1"/>
    </row>
    <row r="24" spans="1:17" ht="12.75">
      <c r="A24" s="1" t="s">
        <v>16</v>
      </c>
      <c r="B24" s="11"/>
      <c r="C24" s="9"/>
      <c r="D24" s="11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17</v>
      </c>
      <c r="B25" s="11"/>
      <c r="C25" s="9"/>
      <c r="D25" s="11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 t="s">
        <v>42</v>
      </c>
      <c r="B26" s="9">
        <v>500</v>
      </c>
      <c r="C26" s="9">
        <v>148.75</v>
      </c>
      <c r="D26" s="9">
        <v>1000</v>
      </c>
      <c r="E26" s="9">
        <v>203.54</v>
      </c>
      <c r="F26" s="9">
        <v>1000</v>
      </c>
      <c r="G26" s="9">
        <v>428.75</v>
      </c>
      <c r="H26" s="9">
        <v>1000</v>
      </c>
      <c r="I26" s="11">
        <v>819.91</v>
      </c>
      <c r="J26" s="11">
        <v>1000</v>
      </c>
      <c r="K26" s="1"/>
      <c r="L26" s="1" t="s">
        <v>69</v>
      </c>
      <c r="M26" s="1"/>
      <c r="N26" s="1"/>
      <c r="O26" s="1"/>
      <c r="P26" s="1"/>
      <c r="Q26" s="1"/>
    </row>
    <row r="27" spans="1:17" ht="12.75">
      <c r="A27" s="1" t="s">
        <v>78</v>
      </c>
      <c r="B27" s="9">
        <v>3100</v>
      </c>
      <c r="C27" s="9">
        <v>2936.75</v>
      </c>
      <c r="D27" s="9">
        <v>5000</v>
      </c>
      <c r="E27" s="9">
        <v>5891.2</v>
      </c>
      <c r="F27" s="9">
        <v>5000</v>
      </c>
      <c r="G27" s="9">
        <v>4490.42</v>
      </c>
      <c r="H27" s="9">
        <v>5000</v>
      </c>
      <c r="I27" s="11">
        <v>5004.54</v>
      </c>
      <c r="J27" s="9">
        <f>(150*12)+(100*12)+1000</f>
        <v>4000</v>
      </c>
      <c r="K27" s="1"/>
      <c r="L27" s="16" t="s">
        <v>96</v>
      </c>
      <c r="M27" s="16"/>
      <c r="N27" s="16"/>
      <c r="O27" s="1"/>
      <c r="P27" s="1"/>
      <c r="Q27" s="1"/>
    </row>
    <row r="28" spans="1:17" ht="13.5">
      <c r="A28" s="1" t="s">
        <v>79</v>
      </c>
      <c r="B28" s="9">
        <v>2400</v>
      </c>
      <c r="C28" s="9">
        <v>2381.9</v>
      </c>
      <c r="D28" s="9">
        <v>5200</v>
      </c>
      <c r="E28" s="9">
        <v>4650.14</v>
      </c>
      <c r="F28" s="9">
        <v>5200</v>
      </c>
      <c r="G28" s="9">
        <v>5201.41</v>
      </c>
      <c r="H28" s="9">
        <v>4000</v>
      </c>
      <c r="I28" s="11">
        <v>4086.65</v>
      </c>
      <c r="J28" s="11">
        <v>3300</v>
      </c>
      <c r="K28" s="1"/>
      <c r="L28" s="24" t="s">
        <v>86</v>
      </c>
      <c r="M28" s="7"/>
      <c r="N28" s="7"/>
      <c r="O28" s="1"/>
      <c r="P28" s="1"/>
      <c r="Q28" s="1"/>
    </row>
    <row r="29" spans="1:17" ht="12.75">
      <c r="A29" s="1" t="s">
        <v>65</v>
      </c>
      <c r="B29" s="9">
        <v>0</v>
      </c>
      <c r="C29" s="9">
        <v>0</v>
      </c>
      <c r="D29" s="9">
        <v>2400</v>
      </c>
      <c r="E29" s="9">
        <v>1392.42</v>
      </c>
      <c r="F29" s="9">
        <v>2400</v>
      </c>
      <c r="G29" s="9">
        <v>3026.14</v>
      </c>
      <c r="H29" s="9">
        <v>3700</v>
      </c>
      <c r="I29" s="11">
        <v>0</v>
      </c>
      <c r="J29" s="11">
        <v>1400</v>
      </c>
      <c r="K29" s="1"/>
      <c r="L29" s="1" t="s">
        <v>144</v>
      </c>
      <c r="M29" s="1"/>
      <c r="N29" s="1"/>
      <c r="O29" s="1"/>
      <c r="P29" s="1"/>
      <c r="Q29" s="1"/>
    </row>
    <row r="30" spans="1:17" ht="12.75">
      <c r="A30" s="1" t="s">
        <v>73</v>
      </c>
      <c r="B30" s="11"/>
      <c r="C30" s="9">
        <v>2525</v>
      </c>
      <c r="D30" s="11"/>
      <c r="E30" s="9"/>
      <c r="F30" s="9"/>
      <c r="G30" s="9">
        <v>200</v>
      </c>
      <c r="H30" s="9"/>
      <c r="I30" s="11">
        <v>0</v>
      </c>
      <c r="J30" s="11">
        <v>0</v>
      </c>
      <c r="K30" s="1"/>
      <c r="L30" s="1"/>
      <c r="M30" s="1"/>
      <c r="N30" s="1"/>
      <c r="O30" s="1"/>
      <c r="P30" s="1"/>
      <c r="Q30" s="1"/>
    </row>
    <row r="31" spans="1:17" ht="12.75">
      <c r="A31" s="3" t="s">
        <v>44</v>
      </c>
      <c r="B31" s="8"/>
      <c r="C31" s="9"/>
      <c r="D31" s="8"/>
      <c r="E31" s="9"/>
      <c r="F31" s="9"/>
      <c r="G31" s="9"/>
      <c r="H31" s="9"/>
      <c r="I31" s="8"/>
      <c r="J31" s="8"/>
      <c r="K31" s="1"/>
      <c r="L31" s="1"/>
      <c r="M31" s="1"/>
      <c r="N31" s="1"/>
      <c r="O31" s="1"/>
      <c r="P31" s="1"/>
      <c r="Q31" s="1"/>
    </row>
    <row r="32" spans="1:17" ht="12.75">
      <c r="A32" s="3" t="s">
        <v>88</v>
      </c>
      <c r="B32" s="9">
        <v>12700</v>
      </c>
      <c r="C32" s="9">
        <v>12651.87</v>
      </c>
      <c r="D32" s="9">
        <v>3140.96</v>
      </c>
      <c r="E32" s="9">
        <v>3140.96</v>
      </c>
      <c r="F32" s="9">
        <v>2000</v>
      </c>
      <c r="G32" s="9">
        <v>1768.46</v>
      </c>
      <c r="H32" s="9">
        <v>2000</v>
      </c>
      <c r="I32" s="9">
        <v>1734.88</v>
      </c>
      <c r="J32" s="8"/>
      <c r="K32" s="1"/>
      <c r="L32" s="1" t="s">
        <v>145</v>
      </c>
      <c r="M32" s="1"/>
      <c r="N32" s="1"/>
      <c r="O32" s="1"/>
      <c r="P32" s="1"/>
      <c r="Q32" s="1"/>
    </row>
    <row r="33" spans="1:17" ht="12.75">
      <c r="A33" s="3" t="s">
        <v>89</v>
      </c>
      <c r="B33" s="9">
        <v>2900</v>
      </c>
      <c r="C33" s="9">
        <v>2888.29</v>
      </c>
      <c r="D33" s="9">
        <v>832.92</v>
      </c>
      <c r="E33" s="9">
        <v>832.92</v>
      </c>
      <c r="F33" s="9">
        <v>500</v>
      </c>
      <c r="G33" s="9">
        <v>454.24</v>
      </c>
      <c r="H33" s="9">
        <v>500</v>
      </c>
      <c r="I33" s="9">
        <v>495.47</v>
      </c>
      <c r="J33" s="8"/>
      <c r="K33" s="1"/>
      <c r="L33" s="1" t="s">
        <v>145</v>
      </c>
      <c r="M33" s="1"/>
      <c r="N33" s="1"/>
      <c r="O33" s="1"/>
      <c r="P33" s="1"/>
      <c r="Q33" s="1"/>
    </row>
    <row r="34" spans="1:17" ht="12.75">
      <c r="A34" s="1" t="s">
        <v>47</v>
      </c>
      <c r="B34" s="9">
        <v>0</v>
      </c>
      <c r="C34" s="9">
        <v>0</v>
      </c>
      <c r="D34" s="9">
        <v>2977.19</v>
      </c>
      <c r="E34" s="9">
        <v>2977.19</v>
      </c>
      <c r="F34" s="9">
        <v>2800</v>
      </c>
      <c r="G34" s="9">
        <v>2797.34</v>
      </c>
      <c r="H34" s="9">
        <v>2600</v>
      </c>
      <c r="I34" s="9">
        <v>2463.66</v>
      </c>
      <c r="J34" s="11">
        <v>2455.64</v>
      </c>
      <c r="K34" s="1"/>
      <c r="L34" s="1" t="s">
        <v>144</v>
      </c>
      <c r="M34" s="1"/>
      <c r="N34" s="1"/>
      <c r="O34" s="1"/>
      <c r="P34" s="1"/>
      <c r="Q34" s="1"/>
    </row>
    <row r="35" spans="1:17" ht="12.75">
      <c r="A35" s="1" t="s">
        <v>45</v>
      </c>
      <c r="B35" s="9">
        <v>0</v>
      </c>
      <c r="C35" s="9">
        <v>0</v>
      </c>
      <c r="D35" s="9">
        <v>11000</v>
      </c>
      <c r="E35" s="9">
        <v>10492.84</v>
      </c>
      <c r="F35" s="9">
        <v>11000</v>
      </c>
      <c r="G35" s="9">
        <v>9993.43</v>
      </c>
      <c r="H35" s="9">
        <f>9300+960</f>
        <v>10260</v>
      </c>
      <c r="I35" s="9">
        <v>9114.38</v>
      </c>
      <c r="J35" s="11">
        <v>8318.35</v>
      </c>
      <c r="K35" s="1"/>
      <c r="L35" s="1" t="s">
        <v>144</v>
      </c>
      <c r="M35" s="1"/>
      <c r="N35" s="1"/>
      <c r="O35" s="1"/>
      <c r="P35" s="1"/>
      <c r="Q35" s="1"/>
    </row>
    <row r="36" spans="1:17" ht="12.75">
      <c r="A36" s="1" t="s">
        <v>46</v>
      </c>
      <c r="B36" s="9">
        <v>400</v>
      </c>
      <c r="C36" s="9">
        <v>348.57</v>
      </c>
      <c r="D36" s="9">
        <v>510</v>
      </c>
      <c r="E36" s="9">
        <v>339.13</v>
      </c>
      <c r="F36" s="9">
        <v>510</v>
      </c>
      <c r="G36" s="9">
        <v>501.28</v>
      </c>
      <c r="H36" s="9">
        <v>500</v>
      </c>
      <c r="I36" s="9">
        <v>475.7</v>
      </c>
      <c r="J36" s="11">
        <v>458.59</v>
      </c>
      <c r="K36" s="1"/>
      <c r="L36" s="1" t="s">
        <v>144</v>
      </c>
      <c r="M36" s="1"/>
      <c r="N36" s="1"/>
      <c r="O36" s="1"/>
      <c r="P36" s="1"/>
      <c r="Q36" s="1"/>
    </row>
    <row r="37" spans="1:17" ht="12.75">
      <c r="A37" s="1" t="s">
        <v>64</v>
      </c>
      <c r="B37" s="9">
        <v>0</v>
      </c>
      <c r="C37" s="9">
        <v>0</v>
      </c>
      <c r="D37" s="9">
        <v>8944.44</v>
      </c>
      <c r="E37" s="9">
        <v>8944.44</v>
      </c>
      <c r="F37" s="9">
        <v>5944</v>
      </c>
      <c r="G37" s="9">
        <v>5944.12</v>
      </c>
      <c r="H37" s="9">
        <v>2450</v>
      </c>
      <c r="I37" s="9">
        <v>2439</v>
      </c>
      <c r="J37" s="11">
        <v>0</v>
      </c>
      <c r="K37" s="1"/>
      <c r="L37" s="1" t="s">
        <v>144</v>
      </c>
      <c r="M37" s="1"/>
      <c r="N37" s="1"/>
      <c r="O37" s="1"/>
      <c r="P37" s="1"/>
      <c r="Q37" s="1"/>
    </row>
    <row r="38" spans="1:17" ht="12.75">
      <c r="A38" s="1" t="s">
        <v>48</v>
      </c>
      <c r="B38" s="9">
        <v>4100</v>
      </c>
      <c r="C38" s="9">
        <v>4099.29</v>
      </c>
      <c r="D38" s="9">
        <v>13160.66</v>
      </c>
      <c r="E38" s="9">
        <v>13160.66</v>
      </c>
      <c r="F38" s="9">
        <v>11600</v>
      </c>
      <c r="G38" s="9">
        <v>10700.29</v>
      </c>
      <c r="H38" s="9">
        <v>11600</v>
      </c>
      <c r="I38" s="9">
        <v>11596.51</v>
      </c>
      <c r="J38" s="11">
        <v>8684.9</v>
      </c>
      <c r="K38" s="1"/>
      <c r="L38" s="1" t="s">
        <v>145</v>
      </c>
      <c r="M38" s="1"/>
      <c r="N38" s="1"/>
      <c r="O38" s="1"/>
      <c r="P38" s="1"/>
      <c r="Q38" s="1"/>
    </row>
    <row r="39" spans="1:17" ht="12.75">
      <c r="A39" s="1" t="s">
        <v>62</v>
      </c>
      <c r="B39" s="9">
        <v>17000</v>
      </c>
      <c r="C39" s="9">
        <v>16045.09</v>
      </c>
      <c r="D39" s="9">
        <v>36875.41</v>
      </c>
      <c r="E39" s="9">
        <v>36875.41</v>
      </c>
      <c r="F39" s="18">
        <f>35805+4195</f>
        <v>40000</v>
      </c>
      <c r="G39" s="9">
        <v>35804.71</v>
      </c>
      <c r="H39" s="9">
        <v>30384</v>
      </c>
      <c r="I39" s="9">
        <v>30384.37</v>
      </c>
      <c r="J39" s="11">
        <v>28107.22</v>
      </c>
      <c r="K39" s="1"/>
      <c r="L39" s="1" t="s">
        <v>145</v>
      </c>
      <c r="M39" s="1"/>
      <c r="N39" s="1"/>
      <c r="O39" s="1"/>
      <c r="P39" s="1"/>
      <c r="Q39" s="1"/>
    </row>
    <row r="40" spans="1:17" ht="12.75">
      <c r="A40" s="1" t="s">
        <v>49</v>
      </c>
      <c r="B40" s="10">
        <v>1250</v>
      </c>
      <c r="C40" s="10">
        <v>1300.43</v>
      </c>
      <c r="D40" s="10">
        <v>1350.87</v>
      </c>
      <c r="E40" s="10">
        <v>1350.87</v>
      </c>
      <c r="F40" s="10">
        <v>1520</v>
      </c>
      <c r="G40" s="10">
        <v>1519.72</v>
      </c>
      <c r="H40" s="10">
        <v>1474</v>
      </c>
      <c r="I40" s="10">
        <v>1473.75</v>
      </c>
      <c r="J40" s="12">
        <v>1601.86</v>
      </c>
      <c r="K40" s="1"/>
      <c r="L40" s="1" t="s">
        <v>145</v>
      </c>
      <c r="M40" s="1"/>
      <c r="N40" s="1"/>
      <c r="O40" s="1"/>
      <c r="P40" s="1"/>
      <c r="Q40" s="1"/>
    </row>
    <row r="41" spans="1:17" ht="12.75">
      <c r="A41" s="1" t="s">
        <v>50</v>
      </c>
      <c r="B41" s="9">
        <f aca="true" t="shared" si="1" ref="B41:I41">SUM(B32:B40)</f>
        <v>38350</v>
      </c>
      <c r="C41" s="9">
        <f t="shared" si="1"/>
        <v>37333.54</v>
      </c>
      <c r="D41" s="9">
        <f t="shared" si="1"/>
        <v>78792.45</v>
      </c>
      <c r="E41" s="9">
        <f t="shared" si="1"/>
        <v>78114.42</v>
      </c>
      <c r="F41" s="9">
        <f t="shared" si="1"/>
        <v>75874</v>
      </c>
      <c r="G41" s="9">
        <f t="shared" si="1"/>
        <v>69483.59</v>
      </c>
      <c r="H41" s="9">
        <f t="shared" si="1"/>
        <v>61768</v>
      </c>
      <c r="I41" s="9">
        <f t="shared" si="1"/>
        <v>60177.72</v>
      </c>
      <c r="J41" s="9">
        <f>SUM(J34:J40)</f>
        <v>49626.56</v>
      </c>
      <c r="K41" s="1"/>
      <c r="L41" s="1"/>
      <c r="M41" s="1"/>
      <c r="N41" s="1"/>
      <c r="O41" s="1"/>
      <c r="P41" s="1"/>
      <c r="Q41" s="1"/>
    </row>
    <row r="42" spans="1:17" ht="12.75">
      <c r="A42" s="1"/>
      <c r="B42" s="11"/>
      <c r="C42" s="9"/>
      <c r="D42" s="11"/>
      <c r="E42" s="9"/>
      <c r="F42" s="1"/>
      <c r="G42" s="1"/>
      <c r="H42" s="1"/>
      <c r="I42" s="11"/>
      <c r="J42" s="1"/>
      <c r="K42" s="1"/>
      <c r="L42" s="1"/>
      <c r="M42" s="1"/>
      <c r="N42" s="1"/>
      <c r="O42" s="1"/>
      <c r="P42" s="1"/>
      <c r="Q42" s="1"/>
    </row>
    <row r="43" spans="1:17" ht="12.75">
      <c r="A43" s="1" t="s">
        <v>27</v>
      </c>
      <c r="B43" s="9">
        <f>35*12</f>
        <v>420</v>
      </c>
      <c r="C43" s="9">
        <v>1763.32</v>
      </c>
      <c r="D43" s="9">
        <v>2803.4</v>
      </c>
      <c r="E43" s="9">
        <v>2803.4</v>
      </c>
      <c r="F43" s="11">
        <v>2000</v>
      </c>
      <c r="G43" s="11">
        <v>1961.22</v>
      </c>
      <c r="H43" s="11">
        <v>2000</v>
      </c>
      <c r="I43" s="11">
        <v>1902.11</v>
      </c>
      <c r="J43" s="11">
        <v>2000</v>
      </c>
      <c r="K43" s="1"/>
      <c r="L43" s="1" t="s">
        <v>146</v>
      </c>
      <c r="M43" s="1"/>
      <c r="N43" s="1"/>
      <c r="O43" s="1"/>
      <c r="P43" s="1"/>
      <c r="Q43" s="1"/>
    </row>
    <row r="44" spans="1:17" ht="12.75">
      <c r="A44" s="1" t="s">
        <v>68</v>
      </c>
      <c r="B44" s="11">
        <v>100</v>
      </c>
      <c r="C44" s="9">
        <v>70.15</v>
      </c>
      <c r="D44" s="11">
        <v>1600</v>
      </c>
      <c r="E44" s="9">
        <v>1110.76</v>
      </c>
      <c r="F44" s="11">
        <v>1600</v>
      </c>
      <c r="G44" s="11">
        <v>1611.64</v>
      </c>
      <c r="H44" s="11">
        <v>1000</v>
      </c>
      <c r="I44" s="11">
        <v>1001.73</v>
      </c>
      <c r="J44" s="11">
        <v>850</v>
      </c>
      <c r="K44" s="1"/>
      <c r="L44" s="1" t="s">
        <v>147</v>
      </c>
      <c r="M44" s="1"/>
      <c r="N44" s="1"/>
      <c r="O44" s="1"/>
      <c r="P44" s="1"/>
      <c r="Q44" s="1"/>
    </row>
    <row r="45" spans="1:17" ht="12.75">
      <c r="A45" s="1" t="s">
        <v>77</v>
      </c>
      <c r="B45" s="11">
        <v>100</v>
      </c>
      <c r="C45" s="9">
        <v>91.99</v>
      </c>
      <c r="D45" s="11">
        <v>100</v>
      </c>
      <c r="E45" s="9">
        <v>53.99</v>
      </c>
      <c r="F45" s="11">
        <v>100</v>
      </c>
      <c r="G45" s="11">
        <v>0</v>
      </c>
      <c r="H45" s="11">
        <v>100</v>
      </c>
      <c r="I45" s="11">
        <v>25.99</v>
      </c>
      <c r="J45" s="11">
        <v>100</v>
      </c>
      <c r="K45" s="1"/>
      <c r="L45" s="1" t="s">
        <v>148</v>
      </c>
      <c r="M45" s="1"/>
      <c r="N45" s="1"/>
      <c r="O45" s="1"/>
      <c r="P45" s="1"/>
      <c r="Q45" s="1"/>
    </row>
    <row r="46" spans="1:17" ht="12.75">
      <c r="A46" s="1" t="s">
        <v>26</v>
      </c>
      <c r="B46" s="11">
        <v>5000</v>
      </c>
      <c r="C46" s="9">
        <v>4002.73</v>
      </c>
      <c r="D46" s="11">
        <v>5000</v>
      </c>
      <c r="E46" s="9">
        <v>7911.76</v>
      </c>
      <c r="F46" s="11">
        <v>5000</v>
      </c>
      <c r="G46" s="11">
        <v>5962.8</v>
      </c>
      <c r="H46" s="11">
        <v>5000</v>
      </c>
      <c r="I46" s="11">
        <v>5229.71</v>
      </c>
      <c r="J46" s="11">
        <v>5000</v>
      </c>
      <c r="K46" s="1"/>
      <c r="L46" s="1" t="s">
        <v>82</v>
      </c>
      <c r="M46" s="1"/>
      <c r="N46" s="1"/>
      <c r="O46" s="1"/>
      <c r="P46" s="1"/>
      <c r="Q46" s="1"/>
    </row>
    <row r="47" spans="1:17" ht="12.75">
      <c r="A47" s="1" t="s">
        <v>18</v>
      </c>
      <c r="B47" s="11">
        <v>300</v>
      </c>
      <c r="C47" s="9">
        <v>161.46</v>
      </c>
      <c r="D47" s="11">
        <v>700</v>
      </c>
      <c r="E47" s="9">
        <v>447.11</v>
      </c>
      <c r="F47" s="11">
        <v>700</v>
      </c>
      <c r="G47" s="11">
        <v>637.99</v>
      </c>
      <c r="H47" s="11">
        <v>700</v>
      </c>
      <c r="I47" s="11">
        <v>579.93</v>
      </c>
      <c r="J47" s="11">
        <v>700</v>
      </c>
      <c r="K47" s="1"/>
      <c r="L47" s="1" t="s">
        <v>19</v>
      </c>
      <c r="M47" s="1"/>
      <c r="N47" s="1"/>
      <c r="O47" s="1"/>
      <c r="P47" s="1"/>
      <c r="Q47" s="1"/>
    </row>
    <row r="48" spans="1:17" ht="12.75">
      <c r="A48" s="1" t="s">
        <v>24</v>
      </c>
      <c r="B48" s="11">
        <f>(12*280)+1000</f>
        <v>4360</v>
      </c>
      <c r="C48" s="9">
        <v>3970</v>
      </c>
      <c r="D48" s="11">
        <f>(12*280)+1000</f>
        <v>4360</v>
      </c>
      <c r="E48" s="9">
        <v>3764</v>
      </c>
      <c r="F48" s="11">
        <f>(12*280)+1000</f>
        <v>4360</v>
      </c>
      <c r="G48" s="11">
        <v>8028</v>
      </c>
      <c r="H48" s="11">
        <f>3500+4500</f>
        <v>8000</v>
      </c>
      <c r="I48" s="11">
        <v>3468</v>
      </c>
      <c r="J48" s="9">
        <f>(280*12)</f>
        <v>3360</v>
      </c>
      <c r="K48" s="1"/>
      <c r="L48" s="1" t="s">
        <v>105</v>
      </c>
      <c r="M48" s="1"/>
      <c r="N48" s="1"/>
      <c r="O48" s="1"/>
      <c r="P48" s="1"/>
      <c r="Q48" s="1"/>
    </row>
    <row r="49" spans="1:17" ht="12.75">
      <c r="A49" s="1" t="s">
        <v>25</v>
      </c>
      <c r="B49" s="11">
        <v>1700</v>
      </c>
      <c r="C49" s="9">
        <v>3224.81</v>
      </c>
      <c r="D49" s="11">
        <v>2700</v>
      </c>
      <c r="E49" s="9">
        <v>0</v>
      </c>
      <c r="F49" s="11">
        <v>1000</v>
      </c>
      <c r="G49" s="11">
        <v>453.61</v>
      </c>
      <c r="H49" s="11">
        <v>1000</v>
      </c>
      <c r="I49" s="11">
        <v>264.19</v>
      </c>
      <c r="J49" s="11">
        <v>1000</v>
      </c>
      <c r="K49" s="1"/>
      <c r="L49" s="1" t="s">
        <v>104</v>
      </c>
      <c r="M49" s="1"/>
      <c r="N49" s="1"/>
      <c r="O49" s="1"/>
      <c r="P49" s="1"/>
      <c r="Q49" s="1"/>
    </row>
    <row r="50" spans="1:17" ht="13.5">
      <c r="A50" s="1" t="s">
        <v>30</v>
      </c>
      <c r="B50" s="11">
        <v>1900</v>
      </c>
      <c r="C50" s="9">
        <v>9410.74</v>
      </c>
      <c r="D50" s="11">
        <v>1700</v>
      </c>
      <c r="E50" s="9">
        <v>5845</v>
      </c>
      <c r="F50" s="11">
        <v>1700</v>
      </c>
      <c r="G50" s="11">
        <v>1631</v>
      </c>
      <c r="H50" s="11">
        <v>1700</v>
      </c>
      <c r="I50" s="11">
        <v>1651</v>
      </c>
      <c r="J50" s="11">
        <v>1700</v>
      </c>
      <c r="K50" s="1"/>
      <c r="L50" s="6" t="s">
        <v>130</v>
      </c>
      <c r="M50" s="1"/>
      <c r="N50" s="1"/>
      <c r="O50" s="1"/>
      <c r="P50" s="1"/>
      <c r="Q50" s="1"/>
    </row>
    <row r="51" spans="1:17" ht="12.75">
      <c r="A51" s="1" t="s">
        <v>20</v>
      </c>
      <c r="B51" s="11">
        <v>0</v>
      </c>
      <c r="C51" s="9">
        <v>0</v>
      </c>
      <c r="D51" s="11">
        <v>600</v>
      </c>
      <c r="E51" s="9">
        <v>639.91</v>
      </c>
      <c r="F51" s="11">
        <v>450</v>
      </c>
      <c r="G51" s="11">
        <v>456.55</v>
      </c>
      <c r="H51" s="11">
        <v>360</v>
      </c>
      <c r="I51" s="11">
        <v>353.62</v>
      </c>
      <c r="J51" s="11">
        <v>300</v>
      </c>
      <c r="K51" s="1"/>
      <c r="L51" s="1" t="s">
        <v>149</v>
      </c>
      <c r="M51" s="1"/>
      <c r="N51" s="1"/>
      <c r="O51" s="1"/>
      <c r="P51" s="1"/>
      <c r="Q51" s="1"/>
    </row>
    <row r="52" spans="1:17" ht="12.75">
      <c r="A52" s="20" t="s">
        <v>113</v>
      </c>
      <c r="B52" s="18">
        <v>6000</v>
      </c>
      <c r="C52" s="18">
        <v>5845</v>
      </c>
      <c r="D52" s="18">
        <v>9538</v>
      </c>
      <c r="E52" s="18">
        <v>9538</v>
      </c>
      <c r="F52" s="18">
        <v>8086</v>
      </c>
      <c r="G52" s="18">
        <v>8086.16</v>
      </c>
      <c r="H52" s="18">
        <v>6700</v>
      </c>
      <c r="I52" s="18">
        <v>6672</v>
      </c>
      <c r="J52" s="19">
        <v>5586.84</v>
      </c>
      <c r="K52" s="20"/>
      <c r="L52" s="20" t="s">
        <v>150</v>
      </c>
      <c r="M52" s="1"/>
      <c r="N52" s="1"/>
      <c r="O52" s="1"/>
      <c r="P52" s="1"/>
      <c r="Q52" s="1"/>
    </row>
    <row r="53" spans="1:17" ht="12.75">
      <c r="A53" s="1" t="s">
        <v>57</v>
      </c>
      <c r="B53" s="11">
        <v>0</v>
      </c>
      <c r="C53" s="9">
        <v>2100</v>
      </c>
      <c r="D53" s="11">
        <f>38*150</f>
        <v>5700</v>
      </c>
      <c r="E53" s="9">
        <v>5850</v>
      </c>
      <c r="F53" s="11">
        <f>31*150</f>
        <v>4650</v>
      </c>
      <c r="G53" s="11">
        <v>3750</v>
      </c>
      <c r="H53" s="11">
        <f>31*150</f>
        <v>4650</v>
      </c>
      <c r="I53" s="11">
        <v>4950</v>
      </c>
      <c r="J53" s="11">
        <f>31*150</f>
        <v>4650</v>
      </c>
      <c r="K53" s="1"/>
      <c r="L53" s="1" t="s">
        <v>141</v>
      </c>
      <c r="M53" s="1"/>
      <c r="N53" s="1"/>
      <c r="O53" s="1"/>
      <c r="P53" s="1"/>
      <c r="Q53" s="1"/>
    </row>
    <row r="54" spans="1:17" ht="12.75">
      <c r="A54" s="1" t="s">
        <v>90</v>
      </c>
      <c r="B54" s="11"/>
      <c r="C54" s="9"/>
      <c r="D54" s="11"/>
      <c r="E54" s="9"/>
      <c r="F54" s="11">
        <v>800</v>
      </c>
      <c r="G54" s="11">
        <v>58.91</v>
      </c>
      <c r="H54" s="11">
        <v>800</v>
      </c>
      <c r="I54" s="11"/>
      <c r="J54" s="11">
        <v>800</v>
      </c>
      <c r="K54" s="1"/>
      <c r="L54" s="1" t="s">
        <v>87</v>
      </c>
      <c r="M54" s="1"/>
      <c r="N54" s="1"/>
      <c r="O54" s="1"/>
      <c r="P54" s="1"/>
      <c r="Q54" s="1"/>
    </row>
    <row r="55" spans="1:17" ht="12.75">
      <c r="A55" s="1" t="s">
        <v>102</v>
      </c>
      <c r="B55" s="11">
        <v>300</v>
      </c>
      <c r="C55" s="9">
        <v>300</v>
      </c>
      <c r="D55" s="11">
        <v>600</v>
      </c>
      <c r="E55" s="9">
        <v>569.21</v>
      </c>
      <c r="F55" s="11">
        <v>100</v>
      </c>
      <c r="G55" s="11">
        <v>57.8</v>
      </c>
      <c r="H55" s="11"/>
      <c r="I55" s="11"/>
      <c r="J55" s="11"/>
      <c r="K55" s="1"/>
      <c r="L55" s="1" t="s">
        <v>131</v>
      </c>
      <c r="M55" s="1"/>
      <c r="N55" s="1"/>
      <c r="O55" s="1"/>
      <c r="P55" s="1"/>
      <c r="Q55" s="1"/>
    </row>
    <row r="56" spans="1:17" ht="12.75">
      <c r="A56" s="1" t="s">
        <v>103</v>
      </c>
      <c r="B56" s="11">
        <v>0</v>
      </c>
      <c r="C56" s="9">
        <v>0</v>
      </c>
      <c r="D56" s="11">
        <v>25</v>
      </c>
      <c r="E56" s="9">
        <v>123.69</v>
      </c>
      <c r="F56" s="19">
        <v>500</v>
      </c>
      <c r="G56" s="11">
        <v>1675</v>
      </c>
      <c r="H56" s="11"/>
      <c r="I56" s="11"/>
      <c r="J56" s="11"/>
      <c r="K56" s="1"/>
      <c r="L56" s="1" t="s">
        <v>106</v>
      </c>
      <c r="M56" s="1"/>
      <c r="N56" s="1"/>
      <c r="O56" s="1"/>
      <c r="P56" s="1"/>
      <c r="Q56" s="1"/>
    </row>
    <row r="57" spans="1:17" ht="13.5">
      <c r="A57" s="1" t="s">
        <v>22</v>
      </c>
      <c r="B57" s="9">
        <v>8800</v>
      </c>
      <c r="C57" s="9">
        <v>8518</v>
      </c>
      <c r="D57" s="9">
        <v>10901</v>
      </c>
      <c r="E57" s="9">
        <v>10901</v>
      </c>
      <c r="F57" s="11">
        <v>10600</v>
      </c>
      <c r="G57" s="11">
        <v>11600</v>
      </c>
      <c r="H57" s="11">
        <v>5800</v>
      </c>
      <c r="I57" s="11">
        <v>5733.5</v>
      </c>
      <c r="J57" s="11">
        <v>5000</v>
      </c>
      <c r="K57" s="1"/>
      <c r="L57" s="6" t="s">
        <v>151</v>
      </c>
      <c r="M57" s="1"/>
      <c r="N57" s="1"/>
      <c r="O57" s="1"/>
      <c r="P57" s="1"/>
      <c r="Q57" s="1"/>
    </row>
    <row r="58" spans="1:17" ht="13.5">
      <c r="A58" s="1" t="s">
        <v>21</v>
      </c>
      <c r="B58" s="9">
        <f>(654*12)+2000+1600</f>
        <v>11448</v>
      </c>
      <c r="C58" s="9">
        <v>9876</v>
      </c>
      <c r="D58" s="9">
        <f>(654*12)+2000+1600</f>
        <v>11448</v>
      </c>
      <c r="E58" s="9">
        <v>12506.81</v>
      </c>
      <c r="F58" s="9">
        <f>(654*12)+2000+1000</f>
        <v>10848</v>
      </c>
      <c r="G58" s="9">
        <v>9325</v>
      </c>
      <c r="H58" s="9">
        <f>(595*12)+2000+1000</f>
        <v>10140</v>
      </c>
      <c r="I58" s="11">
        <v>9482.52</v>
      </c>
      <c r="J58" s="9">
        <f>(595*12)+2000+1000</f>
        <v>10140</v>
      </c>
      <c r="K58" s="1"/>
      <c r="L58" s="5" t="s">
        <v>114</v>
      </c>
      <c r="M58" s="1"/>
      <c r="N58" s="1"/>
      <c r="O58" s="1"/>
      <c r="P58" s="1"/>
      <c r="Q58" s="1"/>
    </row>
    <row r="59" spans="1:17" ht="13.5">
      <c r="A59" s="20" t="s">
        <v>23</v>
      </c>
      <c r="B59" s="19">
        <f>6200</f>
        <v>6200</v>
      </c>
      <c r="C59" s="18">
        <v>13397.19</v>
      </c>
      <c r="D59" s="19">
        <f>6200+5196+6995</f>
        <v>18391</v>
      </c>
      <c r="E59" s="18">
        <v>6887</v>
      </c>
      <c r="F59" s="19">
        <v>5000</v>
      </c>
      <c r="G59" s="19">
        <v>7888.79</v>
      </c>
      <c r="H59" s="19">
        <v>5000</v>
      </c>
      <c r="I59" s="19">
        <v>1380.85</v>
      </c>
      <c r="J59" s="19">
        <v>9000</v>
      </c>
      <c r="K59" s="20"/>
      <c r="L59" s="21" t="s">
        <v>125</v>
      </c>
      <c r="M59" s="1"/>
      <c r="N59" s="1"/>
      <c r="O59" s="1"/>
      <c r="P59" s="1"/>
      <c r="Q59" s="1"/>
    </row>
    <row r="60" spans="1:17" ht="12.75">
      <c r="A60" s="1" t="s">
        <v>28</v>
      </c>
      <c r="B60" s="11">
        <v>850</v>
      </c>
      <c r="C60" s="9">
        <v>942.92</v>
      </c>
      <c r="D60" s="11">
        <v>817</v>
      </c>
      <c r="E60" s="9">
        <v>817.46</v>
      </c>
      <c r="F60" s="11">
        <v>750</v>
      </c>
      <c r="G60" s="11">
        <v>647.85</v>
      </c>
      <c r="H60" s="11">
        <v>750</v>
      </c>
      <c r="I60" s="11">
        <v>723.65</v>
      </c>
      <c r="J60" s="11">
        <v>750</v>
      </c>
      <c r="K60" s="1"/>
      <c r="L60" s="1" t="s">
        <v>71</v>
      </c>
      <c r="M60" s="1"/>
      <c r="N60" s="1"/>
      <c r="O60" s="1"/>
      <c r="P60" s="1"/>
      <c r="Q60" s="1"/>
    </row>
    <row r="61" spans="1:17" ht="12.75">
      <c r="A61" s="1" t="s">
        <v>29</v>
      </c>
      <c r="B61" s="11">
        <v>6050</v>
      </c>
      <c r="C61" s="9">
        <v>5294.83</v>
      </c>
      <c r="D61" s="11">
        <v>6050</v>
      </c>
      <c r="E61" s="9">
        <v>6032.86</v>
      </c>
      <c r="F61" s="11">
        <v>6050</v>
      </c>
      <c r="G61" s="11">
        <v>6032.86</v>
      </c>
      <c r="H61" s="11">
        <v>6000</v>
      </c>
      <c r="I61" s="11">
        <v>6023.58</v>
      </c>
      <c r="J61" s="11">
        <v>5200</v>
      </c>
      <c r="K61" s="1"/>
      <c r="L61" s="1" t="s">
        <v>66</v>
      </c>
      <c r="M61" s="1"/>
      <c r="N61" s="1"/>
      <c r="O61" s="1"/>
      <c r="P61" s="1"/>
      <c r="Q61" s="1"/>
    </row>
    <row r="62" spans="1:17" ht="12.75">
      <c r="A62" s="1" t="s">
        <v>56</v>
      </c>
      <c r="B62" s="11"/>
      <c r="C62" s="9"/>
      <c r="D62" s="11"/>
      <c r="E62" s="9"/>
      <c r="F62" s="11"/>
      <c r="G62" s="11"/>
      <c r="H62" s="11"/>
      <c r="I62" s="11"/>
      <c r="J62" s="11"/>
      <c r="K62" s="1"/>
      <c r="L62" s="1"/>
      <c r="M62" s="1"/>
      <c r="N62" s="1"/>
      <c r="O62" s="1"/>
      <c r="P62" s="1"/>
      <c r="Q62" s="1"/>
    </row>
    <row r="63" spans="1:17" ht="12.75">
      <c r="A63" s="1" t="s">
        <v>58</v>
      </c>
      <c r="B63" s="11">
        <v>100</v>
      </c>
      <c r="C63" s="9">
        <v>0</v>
      </c>
      <c r="D63" s="11">
        <v>100</v>
      </c>
      <c r="E63" s="9">
        <v>0</v>
      </c>
      <c r="F63" s="11">
        <v>100</v>
      </c>
      <c r="G63" s="11">
        <v>0</v>
      </c>
      <c r="H63" s="11">
        <v>100</v>
      </c>
      <c r="I63" s="11">
        <v>0</v>
      </c>
      <c r="J63" s="11">
        <v>100</v>
      </c>
      <c r="K63" s="1"/>
      <c r="L63" s="1" t="s">
        <v>70</v>
      </c>
      <c r="M63" s="1"/>
      <c r="N63" s="1"/>
      <c r="O63" s="1"/>
      <c r="P63" s="1"/>
      <c r="Q63" s="1"/>
    </row>
    <row r="64" spans="1:17" ht="12.75">
      <c r="A64" s="1" t="s">
        <v>59</v>
      </c>
      <c r="B64" s="11">
        <f>2729*1.025</f>
        <v>2797.225</v>
      </c>
      <c r="C64" s="9">
        <v>2728.53</v>
      </c>
      <c r="D64" s="11">
        <f>2697*1.025</f>
        <v>2764.4249999999997</v>
      </c>
      <c r="E64" s="9">
        <v>2696.54</v>
      </c>
      <c r="F64" s="11">
        <f>2644*1.025</f>
        <v>2710.1</v>
      </c>
      <c r="G64" s="11">
        <v>2644</v>
      </c>
      <c r="H64" s="11">
        <v>2100</v>
      </c>
      <c r="I64" s="11">
        <v>3990.89</v>
      </c>
      <c r="J64" s="11">
        <v>4200</v>
      </c>
      <c r="K64" s="1"/>
      <c r="L64" s="1" t="s">
        <v>95</v>
      </c>
      <c r="M64" s="1"/>
      <c r="N64" s="1"/>
      <c r="O64" s="1"/>
      <c r="P64" s="1"/>
      <c r="Q64" s="1"/>
    </row>
    <row r="65" spans="1:17" ht="12.75">
      <c r="A65" s="1" t="s">
        <v>60</v>
      </c>
      <c r="B65" s="12">
        <v>10</v>
      </c>
      <c r="C65" s="10">
        <v>10</v>
      </c>
      <c r="D65" s="12">
        <v>10</v>
      </c>
      <c r="E65" s="10">
        <v>30</v>
      </c>
      <c r="F65" s="12">
        <v>10</v>
      </c>
      <c r="G65" s="12">
        <v>10</v>
      </c>
      <c r="H65" s="12">
        <v>10</v>
      </c>
      <c r="I65" s="12">
        <v>10</v>
      </c>
      <c r="J65" s="12">
        <v>10</v>
      </c>
      <c r="K65" s="1"/>
      <c r="L65" s="1" t="s">
        <v>84</v>
      </c>
      <c r="M65" s="1"/>
      <c r="N65" s="1"/>
      <c r="O65" s="1"/>
      <c r="P65" s="1"/>
      <c r="Q65" s="1"/>
    </row>
    <row r="66" spans="1:17" ht="12.75">
      <c r="A66" s="1" t="s">
        <v>61</v>
      </c>
      <c r="B66" s="9">
        <f aca="true" t="shared" si="2" ref="B66:J66">SUM(B63:B65)</f>
        <v>2907.225</v>
      </c>
      <c r="C66" s="9">
        <f t="shared" si="2"/>
        <v>2738.53</v>
      </c>
      <c r="D66" s="9">
        <f t="shared" si="2"/>
        <v>2874.4249999999997</v>
      </c>
      <c r="E66" s="9">
        <f t="shared" si="2"/>
        <v>2726.54</v>
      </c>
      <c r="F66" s="9">
        <f t="shared" si="2"/>
        <v>2820.1</v>
      </c>
      <c r="G66" s="9">
        <f t="shared" si="2"/>
        <v>2654</v>
      </c>
      <c r="H66" s="9">
        <f t="shared" si="2"/>
        <v>2210</v>
      </c>
      <c r="I66" s="9">
        <f t="shared" si="2"/>
        <v>4000.89</v>
      </c>
      <c r="J66" s="9">
        <f t="shared" si="2"/>
        <v>4310</v>
      </c>
      <c r="K66" s="1"/>
      <c r="L66" s="1"/>
      <c r="M66" s="1"/>
      <c r="N66" s="1"/>
      <c r="O66" s="1"/>
      <c r="P66" s="1"/>
      <c r="Q66" s="1"/>
    </row>
    <row r="67" spans="1:17" ht="12.75">
      <c r="A67" s="1"/>
      <c r="B67" s="11"/>
      <c r="C67" s="9"/>
      <c r="D67" s="11"/>
      <c r="E67" s="9"/>
      <c r="F67" s="11"/>
      <c r="G67" s="11"/>
      <c r="H67" s="11"/>
      <c r="I67" s="11"/>
      <c r="J67" s="11"/>
      <c r="K67" s="1"/>
      <c r="L67" s="1"/>
      <c r="M67" s="1"/>
      <c r="N67" s="1"/>
      <c r="O67" s="1"/>
      <c r="P67" s="1"/>
      <c r="Q67" s="1"/>
    </row>
    <row r="68" spans="1:17" ht="12.75">
      <c r="A68" s="1" t="s">
        <v>51</v>
      </c>
      <c r="B68" s="11"/>
      <c r="C68" s="9"/>
      <c r="D68" s="11"/>
      <c r="E68" s="9"/>
      <c r="F68" s="1"/>
      <c r="G68" s="1"/>
      <c r="H68" s="1"/>
      <c r="I68" s="11"/>
      <c r="J68" s="11"/>
      <c r="K68" s="1"/>
      <c r="L68" s="1"/>
      <c r="M68" s="1"/>
      <c r="N68" s="1"/>
      <c r="O68" s="1"/>
      <c r="P68" s="1"/>
      <c r="Q68" s="1"/>
    </row>
    <row r="69" spans="1:17" ht="12.75">
      <c r="A69" s="1" t="s">
        <v>53</v>
      </c>
      <c r="B69" s="9">
        <v>8823.94</v>
      </c>
      <c r="C69" s="9">
        <v>8589.7</v>
      </c>
      <c r="D69" s="9">
        <v>8823.94</v>
      </c>
      <c r="E69" s="9">
        <v>8823.94</v>
      </c>
      <c r="F69" s="11">
        <v>7400</v>
      </c>
      <c r="G69" s="11">
        <v>7388.27</v>
      </c>
      <c r="H69" s="11">
        <v>6950</v>
      </c>
      <c r="I69" s="11">
        <v>6379.16</v>
      </c>
      <c r="J69" s="11">
        <v>6950</v>
      </c>
      <c r="K69" s="1"/>
      <c r="L69" s="1" t="s">
        <v>152</v>
      </c>
      <c r="M69" s="1"/>
      <c r="N69" s="1"/>
      <c r="O69" s="1"/>
      <c r="P69" s="1"/>
      <c r="Q69" s="1"/>
    </row>
    <row r="70" spans="1:17" ht="12.75">
      <c r="A70" s="1" t="s">
        <v>54</v>
      </c>
      <c r="B70" s="9">
        <v>7000</v>
      </c>
      <c r="C70" s="9">
        <v>6351.1</v>
      </c>
      <c r="D70" s="9">
        <v>10634.07</v>
      </c>
      <c r="E70" s="9">
        <v>10634.07</v>
      </c>
      <c r="F70" s="11">
        <v>7400</v>
      </c>
      <c r="G70" s="11">
        <v>7723.95</v>
      </c>
      <c r="H70" s="11">
        <v>6000</v>
      </c>
      <c r="I70" s="11">
        <v>4416.01</v>
      </c>
      <c r="J70" s="11">
        <v>6000</v>
      </c>
      <c r="K70" s="1"/>
      <c r="L70" s="1" t="s">
        <v>153</v>
      </c>
      <c r="M70" s="1"/>
      <c r="N70" s="1"/>
      <c r="O70" s="1"/>
      <c r="P70" s="1"/>
      <c r="Q70" s="1"/>
    </row>
    <row r="71" spans="1:17" ht="12.75">
      <c r="A71" s="1" t="s">
        <v>55</v>
      </c>
      <c r="B71" s="10">
        <v>9400</v>
      </c>
      <c r="C71" s="10">
        <v>9043.09</v>
      </c>
      <c r="D71" s="10">
        <v>11051.05</v>
      </c>
      <c r="E71" s="10">
        <v>11051.05</v>
      </c>
      <c r="F71" s="12">
        <v>6000</v>
      </c>
      <c r="G71" s="12">
        <v>6802.56</v>
      </c>
      <c r="H71" s="12">
        <v>5200</v>
      </c>
      <c r="I71" s="12">
        <v>5565.98</v>
      </c>
      <c r="J71" s="12">
        <v>5200</v>
      </c>
      <c r="K71" s="1"/>
      <c r="L71" s="1" t="s">
        <v>154</v>
      </c>
      <c r="M71" s="1"/>
      <c r="N71" s="1"/>
      <c r="O71" s="1"/>
      <c r="P71" s="1"/>
      <c r="Q71" s="1"/>
    </row>
    <row r="72" spans="1:17" ht="12.75">
      <c r="A72" s="1" t="s">
        <v>52</v>
      </c>
      <c r="B72" s="9">
        <f aca="true" t="shared" si="3" ref="B72:J72">SUM(B69:B71)</f>
        <v>25223.940000000002</v>
      </c>
      <c r="C72" s="9">
        <f t="shared" si="3"/>
        <v>23983.89</v>
      </c>
      <c r="D72" s="9">
        <f t="shared" si="3"/>
        <v>30509.06</v>
      </c>
      <c r="E72" s="9">
        <f t="shared" si="3"/>
        <v>30509.06</v>
      </c>
      <c r="F72" s="9">
        <f t="shared" si="3"/>
        <v>20800</v>
      </c>
      <c r="G72" s="9">
        <f t="shared" si="3"/>
        <v>21914.780000000002</v>
      </c>
      <c r="H72" s="9">
        <f t="shared" si="3"/>
        <v>18150</v>
      </c>
      <c r="I72" s="9">
        <f t="shared" si="3"/>
        <v>16361.15</v>
      </c>
      <c r="J72" s="9">
        <f t="shared" si="3"/>
        <v>18150</v>
      </c>
      <c r="K72" s="1"/>
      <c r="L72" s="1"/>
      <c r="M72" s="1"/>
      <c r="N72" s="1"/>
      <c r="O72" s="1"/>
      <c r="P72" s="1"/>
      <c r="Q72" s="1"/>
    </row>
    <row r="73" spans="1:17" ht="12.75">
      <c r="A73" s="1"/>
      <c r="B73" s="11"/>
      <c r="C73" s="9"/>
      <c r="D73" s="11"/>
      <c r="E73" s="9"/>
      <c r="F73" s="9"/>
      <c r="G73" s="9"/>
      <c r="H73" s="9"/>
      <c r="I73" s="9"/>
      <c r="J73" s="9"/>
      <c r="K73" s="1"/>
      <c r="L73" s="1"/>
      <c r="M73" s="1"/>
      <c r="N73" s="1"/>
      <c r="O73" s="1"/>
      <c r="P73" s="1"/>
      <c r="Q73" s="1"/>
    </row>
    <row r="74" spans="1:17" ht="12.75">
      <c r="A74" s="1" t="s">
        <v>91</v>
      </c>
      <c r="B74" s="9">
        <f>75*12</f>
        <v>900</v>
      </c>
      <c r="C74" s="9">
        <v>813.49</v>
      </c>
      <c r="D74" s="9">
        <f>89*12</f>
        <v>1068</v>
      </c>
      <c r="E74" s="9">
        <v>1059.6</v>
      </c>
      <c r="F74" s="9">
        <f>89*12</f>
        <v>1068</v>
      </c>
      <c r="G74" s="9">
        <v>1037.9</v>
      </c>
      <c r="H74" s="9">
        <f>87*12</f>
        <v>1044</v>
      </c>
      <c r="I74" s="11">
        <v>1033.6</v>
      </c>
      <c r="J74" s="9">
        <f>87*12</f>
        <v>1044</v>
      </c>
      <c r="K74" s="1"/>
      <c r="L74" s="1" t="s">
        <v>132</v>
      </c>
      <c r="M74" s="1"/>
      <c r="N74" s="1"/>
      <c r="O74" s="1"/>
      <c r="P74" s="1"/>
      <c r="Q74" s="1"/>
    </row>
    <row r="75" spans="1:17" ht="12.75">
      <c r="A75" s="1"/>
      <c r="B75" s="11"/>
      <c r="C75" s="9"/>
      <c r="D75" s="11"/>
      <c r="E75" s="9"/>
      <c r="F75" s="9"/>
      <c r="G75" s="9"/>
      <c r="H75" s="9"/>
      <c r="I75" s="11"/>
      <c r="J75" s="9"/>
      <c r="K75" s="1"/>
      <c r="L75" s="1"/>
      <c r="M75" s="1"/>
      <c r="N75" s="1"/>
      <c r="O75" s="1"/>
      <c r="P75" s="1"/>
      <c r="Q75" s="1"/>
    </row>
    <row r="76" spans="1:17" ht="12.75">
      <c r="A76" s="1" t="s">
        <v>31</v>
      </c>
      <c r="B76" s="9">
        <f aca="true" t="shared" si="4" ref="B76:J76">SUM(B26:B30)+B41+SUM(B43:B61)+B66+B72+B74</f>
        <v>126909.16500000001</v>
      </c>
      <c r="C76" s="9">
        <f t="shared" si="4"/>
        <v>141830.99</v>
      </c>
      <c r="D76" s="9">
        <f t="shared" si="4"/>
        <v>209877.33499999996</v>
      </c>
      <c r="E76" s="9">
        <f t="shared" si="4"/>
        <v>200348.88</v>
      </c>
      <c r="F76" s="9">
        <f t="shared" si="4"/>
        <v>178456.1</v>
      </c>
      <c r="G76" s="9">
        <f t="shared" si="4"/>
        <v>178302.16999999998</v>
      </c>
      <c r="H76" s="9">
        <f t="shared" si="4"/>
        <v>156572</v>
      </c>
      <c r="I76" s="9">
        <f t="shared" si="4"/>
        <v>140926.84000000003</v>
      </c>
      <c r="J76" s="9">
        <f t="shared" si="4"/>
        <v>138967.4</v>
      </c>
      <c r="K76" s="1"/>
      <c r="L76" s="1"/>
      <c r="M76" s="1"/>
      <c r="N76" s="1"/>
      <c r="O76" s="1"/>
      <c r="P76" s="1"/>
      <c r="Q76" s="1"/>
    </row>
    <row r="77" spans="1:17" ht="12.75">
      <c r="A77" s="1"/>
      <c r="B77" s="11"/>
      <c r="C77" s="9"/>
      <c r="D77" s="11"/>
      <c r="E77" s="9"/>
      <c r="F77" s="1"/>
      <c r="G77" s="1"/>
      <c r="H77" s="1"/>
      <c r="I77" s="11"/>
      <c r="J77" s="11"/>
      <c r="K77" s="1"/>
      <c r="L77" s="1"/>
      <c r="M77" s="1"/>
      <c r="N77" s="1"/>
      <c r="O77" s="1"/>
      <c r="P77" s="1"/>
      <c r="Q77" s="1"/>
    </row>
    <row r="78" spans="1:17" ht="15">
      <c r="A78" s="1" t="s">
        <v>32</v>
      </c>
      <c r="B78" s="14">
        <f aca="true" t="shared" si="5" ref="B78:J78">+B23-B76</f>
        <v>-34409.16500000001</v>
      </c>
      <c r="C78" s="14">
        <f t="shared" si="5"/>
        <v>-43838.31</v>
      </c>
      <c r="D78" s="14">
        <f t="shared" si="5"/>
        <v>-266.33499999996275</v>
      </c>
      <c r="E78" s="14">
        <f t="shared" si="5"/>
        <v>8724.819999999978</v>
      </c>
      <c r="F78" s="14">
        <f t="shared" si="5"/>
        <v>31236.899999999994</v>
      </c>
      <c r="G78" s="14">
        <f t="shared" si="5"/>
        <v>26248.77000000002</v>
      </c>
      <c r="H78" s="14">
        <f t="shared" si="5"/>
        <v>25252</v>
      </c>
      <c r="I78" s="14">
        <f t="shared" si="5"/>
        <v>31712.149999999965</v>
      </c>
      <c r="J78" s="14">
        <f t="shared" si="5"/>
        <v>-6098.399999999994</v>
      </c>
      <c r="K78" s="1"/>
      <c r="L78" s="1"/>
      <c r="M78" s="1"/>
      <c r="N78" s="1"/>
      <c r="O78" s="1"/>
      <c r="P78" s="1"/>
      <c r="Q78" s="1"/>
    </row>
    <row r="79" spans="1:17" ht="12.75">
      <c r="A79" s="1" t="s">
        <v>16</v>
      </c>
      <c r="B79" s="11"/>
      <c r="C79" s="9"/>
      <c r="D79" s="11"/>
      <c r="E79" s="9"/>
      <c r="F79" s="1"/>
      <c r="G79" s="1"/>
      <c r="H79" s="1"/>
      <c r="I79" s="11"/>
      <c r="J79" s="11"/>
      <c r="K79" s="1"/>
      <c r="L79" s="1"/>
      <c r="M79" s="1"/>
      <c r="N79" s="1"/>
      <c r="O79" s="1"/>
      <c r="P79" s="1"/>
      <c r="Q79" s="1"/>
    </row>
    <row r="80" spans="1:17" ht="12.75">
      <c r="A80" s="1" t="s">
        <v>33</v>
      </c>
      <c r="B80" s="11"/>
      <c r="C80" s="9"/>
      <c r="D80" s="11"/>
      <c r="E80" s="9"/>
      <c r="F80" s="1"/>
      <c r="G80" s="1"/>
      <c r="H80" s="1"/>
      <c r="I80" s="11"/>
      <c r="J80" s="11"/>
      <c r="K80" s="1"/>
      <c r="L80" s="1"/>
      <c r="M80" s="1"/>
      <c r="N80" s="1"/>
      <c r="O80" s="1"/>
      <c r="P80" s="1"/>
      <c r="Q80" s="1"/>
    </row>
    <row r="81" spans="1:17" ht="12.75">
      <c r="A81" s="1" t="s">
        <v>34</v>
      </c>
      <c r="B81" s="11">
        <f>4*525</f>
        <v>2100</v>
      </c>
      <c r="C81" s="9">
        <v>4625</v>
      </c>
      <c r="D81" s="11">
        <f>12*525</f>
        <v>6300</v>
      </c>
      <c r="E81" s="9">
        <v>13100</v>
      </c>
      <c r="F81" s="11">
        <f>12*525</f>
        <v>6300</v>
      </c>
      <c r="G81" s="11">
        <v>21825</v>
      </c>
      <c r="H81" s="11">
        <f>12*525</f>
        <v>6300</v>
      </c>
      <c r="I81" s="11">
        <v>16275</v>
      </c>
      <c r="J81" s="11">
        <f>12*525</f>
        <v>6300</v>
      </c>
      <c r="K81" s="1"/>
      <c r="L81" s="1" t="s">
        <v>155</v>
      </c>
      <c r="M81" s="1"/>
      <c r="N81" s="1"/>
      <c r="O81" s="1"/>
      <c r="P81" s="1"/>
      <c r="Q81" s="1"/>
    </row>
    <row r="82" spans="1:17" ht="12.75">
      <c r="A82" s="1" t="s">
        <v>100</v>
      </c>
      <c r="B82" s="12">
        <f>150*50</f>
        <v>7500</v>
      </c>
      <c r="C82" s="9">
        <v>7475</v>
      </c>
      <c r="D82" s="12">
        <f>160*50</f>
        <v>8000</v>
      </c>
      <c r="E82" s="9">
        <v>9400</v>
      </c>
      <c r="F82" s="12">
        <f>160*50</f>
        <v>8000</v>
      </c>
      <c r="G82" s="12">
        <v>9990</v>
      </c>
      <c r="H82" s="12">
        <f>160*50</f>
        <v>8000</v>
      </c>
      <c r="I82" s="12">
        <v>0</v>
      </c>
      <c r="J82" s="12">
        <v>0</v>
      </c>
      <c r="K82" s="1"/>
      <c r="L82" s="1" t="s">
        <v>156</v>
      </c>
      <c r="M82" s="1"/>
      <c r="N82" s="1"/>
      <c r="O82" s="1"/>
      <c r="P82" s="1"/>
      <c r="Q82" s="1"/>
    </row>
    <row r="83" spans="1:17" ht="12.75">
      <c r="A83" s="1" t="s">
        <v>134</v>
      </c>
      <c r="B83" s="12"/>
      <c r="C83" s="9">
        <v>30526</v>
      </c>
      <c r="D83" s="12"/>
      <c r="E83" s="9"/>
      <c r="F83" s="12"/>
      <c r="G83" s="12"/>
      <c r="H83" s="12"/>
      <c r="I83" s="12"/>
      <c r="J83" s="12"/>
      <c r="K83" s="1"/>
      <c r="L83" s="1"/>
      <c r="M83" s="1"/>
      <c r="N83" s="1"/>
      <c r="O83" s="1"/>
      <c r="P83" s="1"/>
      <c r="Q83" s="1"/>
    </row>
    <row r="84" spans="1:17" ht="12.75">
      <c r="A84" s="1" t="s">
        <v>118</v>
      </c>
      <c r="B84" s="12"/>
      <c r="C84" s="10">
        <v>50000</v>
      </c>
      <c r="D84" s="12">
        <v>50000</v>
      </c>
      <c r="E84" s="9"/>
      <c r="F84" s="12"/>
      <c r="G84" s="12"/>
      <c r="H84" s="12"/>
      <c r="I84" s="12"/>
      <c r="J84" s="12"/>
      <c r="K84" s="1"/>
      <c r="L84" s="1"/>
      <c r="M84" s="1"/>
      <c r="N84" s="1"/>
      <c r="O84" s="1"/>
      <c r="P84" s="1"/>
      <c r="Q84" s="1"/>
    </row>
    <row r="85" spans="1:17" ht="12.75">
      <c r="A85" s="1" t="s">
        <v>35</v>
      </c>
      <c r="B85" s="9">
        <f>SUM(B81:B84)</f>
        <v>9600</v>
      </c>
      <c r="C85" s="9">
        <f>SUM(C81:C84)</f>
        <v>92626</v>
      </c>
      <c r="D85" s="9">
        <f>SUM(D81:D84)</f>
        <v>64300</v>
      </c>
      <c r="E85" s="9">
        <f aca="true" t="shared" si="6" ref="E85:J85">SUM(E81:E82)</f>
        <v>22500</v>
      </c>
      <c r="F85" s="9">
        <f t="shared" si="6"/>
        <v>14300</v>
      </c>
      <c r="G85" s="9">
        <f t="shared" si="6"/>
        <v>31815</v>
      </c>
      <c r="H85" s="9">
        <f t="shared" si="6"/>
        <v>14300</v>
      </c>
      <c r="I85" s="9">
        <f t="shared" si="6"/>
        <v>16275</v>
      </c>
      <c r="J85" s="9">
        <f t="shared" si="6"/>
        <v>6300</v>
      </c>
      <c r="K85" s="1"/>
      <c r="L85" s="1"/>
      <c r="M85" s="1"/>
      <c r="N85" s="1"/>
      <c r="O85" s="1"/>
      <c r="P85" s="1"/>
      <c r="Q85" s="1"/>
    </row>
    <row r="86" spans="1:17" ht="12.75">
      <c r="A86" s="1"/>
      <c r="B86" s="11"/>
      <c r="C86" s="9"/>
      <c r="D86" s="11"/>
      <c r="E86" s="9"/>
      <c r="F86" s="1"/>
      <c r="G86" s="1"/>
      <c r="H86" s="1"/>
      <c r="I86" s="11"/>
      <c r="J86" s="11"/>
      <c r="K86" s="1"/>
      <c r="L86" s="1"/>
      <c r="M86" s="1"/>
      <c r="N86" s="1"/>
      <c r="O86" s="1"/>
      <c r="P86" s="1"/>
      <c r="Q86" s="1"/>
    </row>
    <row r="87" spans="1:17" ht="12.75">
      <c r="A87" s="1" t="s">
        <v>36</v>
      </c>
      <c r="B87" s="11"/>
      <c r="C87" s="9"/>
      <c r="D87" s="11"/>
      <c r="E87" s="9"/>
      <c r="F87" s="1"/>
      <c r="G87" s="1"/>
      <c r="H87" s="1"/>
      <c r="I87" s="11"/>
      <c r="J87" s="11"/>
      <c r="K87" s="1"/>
      <c r="L87" s="1"/>
      <c r="M87" s="1"/>
      <c r="N87" s="1"/>
      <c r="O87" s="1"/>
      <c r="P87" s="1"/>
      <c r="Q87" s="1"/>
    </row>
    <row r="88" spans="1:17" ht="12.75">
      <c r="A88" s="1" t="s">
        <v>37</v>
      </c>
      <c r="B88" s="11"/>
      <c r="C88" s="9"/>
      <c r="D88" s="11"/>
      <c r="E88" s="9"/>
      <c r="F88" s="1"/>
      <c r="G88" s="1"/>
      <c r="H88" s="1"/>
      <c r="I88" s="11"/>
      <c r="J88" s="11"/>
      <c r="K88" s="1"/>
      <c r="L88" s="1" t="s">
        <v>16</v>
      </c>
      <c r="M88" s="1"/>
      <c r="N88" s="1"/>
      <c r="O88" s="1"/>
      <c r="P88" s="1"/>
      <c r="Q88" s="1"/>
    </row>
    <row r="89" spans="1:17" ht="13.5">
      <c r="A89" s="1" t="s">
        <v>97</v>
      </c>
      <c r="B89" s="11">
        <v>0</v>
      </c>
      <c r="C89" s="9">
        <v>0</v>
      </c>
      <c r="D89" s="11">
        <v>0</v>
      </c>
      <c r="E89" s="9">
        <v>870</v>
      </c>
      <c r="F89" s="11">
        <v>0</v>
      </c>
      <c r="G89" s="11">
        <v>116569</v>
      </c>
      <c r="H89" s="11">
        <f>100650+17400</f>
        <v>118050</v>
      </c>
      <c r="I89" s="11">
        <v>20750</v>
      </c>
      <c r="J89" s="11"/>
      <c r="K89" s="1"/>
      <c r="L89" s="5" t="s">
        <v>16</v>
      </c>
      <c r="M89" s="1"/>
      <c r="N89" s="1"/>
      <c r="O89" s="1"/>
      <c r="P89" s="1"/>
      <c r="Q89" s="1"/>
    </row>
    <row r="90" spans="1:17" ht="12.75">
      <c r="A90" s="1" t="s">
        <v>98</v>
      </c>
      <c r="B90" s="11"/>
      <c r="C90" s="9"/>
      <c r="D90" s="11"/>
      <c r="E90" s="9"/>
      <c r="F90" s="11"/>
      <c r="G90" s="11"/>
      <c r="H90" s="11"/>
      <c r="I90" s="11"/>
      <c r="J90" s="11">
        <v>0</v>
      </c>
      <c r="K90" s="1"/>
      <c r="L90" s="1" t="s">
        <v>110</v>
      </c>
      <c r="M90" s="1"/>
      <c r="N90" s="1"/>
      <c r="O90" s="1"/>
      <c r="P90" s="1"/>
      <c r="Q90" s="1"/>
    </row>
    <row r="91" spans="1:17" ht="12.75">
      <c r="A91" s="20" t="s">
        <v>81</v>
      </c>
      <c r="B91" s="19">
        <v>4500</v>
      </c>
      <c r="C91" s="18">
        <v>4519.35</v>
      </c>
      <c r="D91" s="19">
        <v>4500</v>
      </c>
      <c r="E91" s="18">
        <v>1880</v>
      </c>
      <c r="F91" s="19"/>
      <c r="G91" s="19"/>
      <c r="H91" s="19"/>
      <c r="I91" s="19"/>
      <c r="J91" s="19">
        <v>0</v>
      </c>
      <c r="K91" s="20"/>
      <c r="L91" s="20" t="s">
        <v>115</v>
      </c>
      <c r="M91" s="1"/>
      <c r="N91" s="1"/>
      <c r="O91" s="1"/>
      <c r="P91" s="1"/>
      <c r="Q91" s="1"/>
    </row>
    <row r="92" spans="1:17" ht="12.75">
      <c r="A92" s="20" t="s">
        <v>107</v>
      </c>
      <c r="B92" s="19">
        <v>0</v>
      </c>
      <c r="C92" s="18">
        <v>0</v>
      </c>
      <c r="D92" s="19">
        <v>3500</v>
      </c>
      <c r="E92" s="18">
        <v>7776</v>
      </c>
      <c r="F92" s="19"/>
      <c r="G92" s="19"/>
      <c r="H92" s="19"/>
      <c r="I92" s="19"/>
      <c r="J92" s="19"/>
      <c r="K92" s="20"/>
      <c r="L92" s="20" t="s">
        <v>116</v>
      </c>
      <c r="M92" s="1"/>
      <c r="N92" s="1"/>
      <c r="O92" s="1"/>
      <c r="P92" s="1"/>
      <c r="Q92" s="1"/>
    </row>
    <row r="93" spans="1:17" ht="12.75">
      <c r="A93" s="20" t="s">
        <v>108</v>
      </c>
      <c r="B93" s="19">
        <v>0</v>
      </c>
      <c r="C93" s="18">
        <v>75205</v>
      </c>
      <c r="D93" s="19">
        <v>75000</v>
      </c>
      <c r="E93" s="18"/>
      <c r="F93" s="19"/>
      <c r="G93" s="19"/>
      <c r="H93" s="19"/>
      <c r="I93" s="19"/>
      <c r="J93" s="19">
        <v>0</v>
      </c>
      <c r="K93" s="20"/>
      <c r="L93" s="20" t="s">
        <v>117</v>
      </c>
      <c r="M93" s="1"/>
      <c r="N93" s="1"/>
      <c r="O93" s="1"/>
      <c r="P93" s="1"/>
      <c r="Q93" s="1"/>
    </row>
    <row r="94" spans="1:17" ht="12.75">
      <c r="A94" s="20" t="s">
        <v>123</v>
      </c>
      <c r="B94" s="19">
        <v>0</v>
      </c>
      <c r="C94" s="18"/>
      <c r="D94" s="19">
        <v>2000</v>
      </c>
      <c r="E94" s="18"/>
      <c r="F94" s="19"/>
      <c r="G94" s="19"/>
      <c r="H94" s="19"/>
      <c r="I94" s="19"/>
      <c r="J94" s="19"/>
      <c r="K94" s="20"/>
      <c r="L94" s="20" t="s">
        <v>124</v>
      </c>
      <c r="M94" s="1"/>
      <c r="N94" s="1"/>
      <c r="O94" s="1"/>
      <c r="P94" s="1"/>
      <c r="Q94" s="1"/>
    </row>
    <row r="95" spans="1:17" ht="12.75">
      <c r="A95" s="1" t="s">
        <v>80</v>
      </c>
      <c r="B95" s="11"/>
      <c r="C95" s="9"/>
      <c r="D95" s="11"/>
      <c r="E95" s="9"/>
      <c r="F95" s="11"/>
      <c r="G95" s="11"/>
      <c r="H95" s="11"/>
      <c r="I95" s="11"/>
      <c r="J95" s="11">
        <v>0</v>
      </c>
      <c r="K95" s="1"/>
      <c r="L95" s="1" t="s">
        <v>111</v>
      </c>
      <c r="M95" s="1"/>
      <c r="N95" s="1"/>
      <c r="O95" s="1"/>
      <c r="P95" s="1"/>
      <c r="Q95" s="1"/>
    </row>
    <row r="96" spans="1:17" ht="12.75">
      <c r="A96" s="1" t="s">
        <v>136</v>
      </c>
      <c r="B96" s="11"/>
      <c r="C96" s="9">
        <v>350</v>
      </c>
      <c r="D96" s="11"/>
      <c r="E96" s="9"/>
      <c r="F96" s="11">
        <v>0</v>
      </c>
      <c r="G96" s="11">
        <v>0</v>
      </c>
      <c r="H96" s="11">
        <v>0</v>
      </c>
      <c r="I96" s="11">
        <v>350</v>
      </c>
      <c r="J96" s="12"/>
      <c r="K96" s="1"/>
      <c r="L96" s="1" t="s">
        <v>137</v>
      </c>
      <c r="M96" s="1"/>
      <c r="N96" s="1"/>
      <c r="O96" s="1"/>
      <c r="P96" s="1"/>
      <c r="Q96" s="1"/>
    </row>
    <row r="97" spans="1:17" ht="12.75">
      <c r="A97" s="1" t="s">
        <v>92</v>
      </c>
      <c r="B97" s="11">
        <f>12*87.49</f>
        <v>1049.8799999999999</v>
      </c>
      <c r="C97" s="9">
        <f>9*87.49</f>
        <v>787.41</v>
      </c>
      <c r="D97" s="11">
        <f>12*87.49</f>
        <v>1049.8799999999999</v>
      </c>
      <c r="E97" s="9">
        <v>1049.88</v>
      </c>
      <c r="F97" s="11">
        <f>12*87.49</f>
        <v>1049.8799999999999</v>
      </c>
      <c r="G97" s="11">
        <v>962.39</v>
      </c>
      <c r="H97" s="11">
        <f>12*87.49</f>
        <v>1049.8799999999999</v>
      </c>
      <c r="I97" s="11">
        <v>612.43</v>
      </c>
      <c r="J97" s="12"/>
      <c r="K97" s="1"/>
      <c r="L97" s="1" t="s">
        <v>158</v>
      </c>
      <c r="M97" s="1"/>
      <c r="N97" s="1"/>
      <c r="O97" s="1"/>
      <c r="P97" s="1"/>
      <c r="Q97" s="1"/>
    </row>
    <row r="98" spans="1:17" ht="12.75">
      <c r="A98" s="1" t="s">
        <v>93</v>
      </c>
      <c r="B98" s="11">
        <f aca="true" t="shared" si="7" ref="B98:H98">12*1731.87</f>
        <v>20782.44</v>
      </c>
      <c r="C98" s="10">
        <f>9*1731.87</f>
        <v>15586.829999999998</v>
      </c>
      <c r="D98" s="11">
        <f t="shared" si="7"/>
        <v>20782.44</v>
      </c>
      <c r="E98" s="10">
        <f t="shared" si="7"/>
        <v>20782.44</v>
      </c>
      <c r="F98" s="12">
        <f t="shared" si="7"/>
        <v>20782.44</v>
      </c>
      <c r="G98" s="12">
        <f t="shared" si="7"/>
        <v>20782.44</v>
      </c>
      <c r="H98" s="12">
        <f t="shared" si="7"/>
        <v>20782.44</v>
      </c>
      <c r="I98" s="12">
        <v>12123.09</v>
      </c>
      <c r="J98" s="12"/>
      <c r="K98" s="1"/>
      <c r="L98" s="1" t="s">
        <v>159</v>
      </c>
      <c r="M98" s="1"/>
      <c r="N98" s="1"/>
      <c r="O98" s="1"/>
      <c r="P98" s="1"/>
      <c r="Q98" s="1"/>
    </row>
    <row r="99" spans="1:17" ht="12.75">
      <c r="A99" s="1" t="s">
        <v>126</v>
      </c>
      <c r="B99" s="11">
        <f>43.75*12</f>
        <v>525</v>
      </c>
      <c r="C99" s="10">
        <f>8*43.75</f>
        <v>350</v>
      </c>
      <c r="D99" s="11">
        <f>43.75*11</f>
        <v>481.25</v>
      </c>
      <c r="E99" s="10"/>
      <c r="F99" s="12"/>
      <c r="G99" s="12"/>
      <c r="H99" s="12"/>
      <c r="I99" s="12"/>
      <c r="J99" s="12"/>
      <c r="K99" s="1"/>
      <c r="L99" s="1" t="s">
        <v>157</v>
      </c>
      <c r="M99" s="1"/>
      <c r="N99" s="1"/>
      <c r="O99" s="1"/>
      <c r="P99" s="1"/>
      <c r="Q99" s="1"/>
    </row>
    <row r="100" spans="1:17" ht="12.75">
      <c r="A100" s="1" t="s">
        <v>127</v>
      </c>
      <c r="B100" s="11">
        <f>885.63*12</f>
        <v>10627.56</v>
      </c>
      <c r="C100" s="10">
        <f>8*885.83</f>
        <v>7086.64</v>
      </c>
      <c r="D100" s="11">
        <f>885.63*11</f>
        <v>9741.93</v>
      </c>
      <c r="E100" s="10"/>
      <c r="F100" s="12"/>
      <c r="G100" s="12"/>
      <c r="H100" s="12"/>
      <c r="I100" s="12"/>
      <c r="J100" s="12"/>
      <c r="K100" s="1"/>
      <c r="L100" s="1" t="s">
        <v>160</v>
      </c>
      <c r="M100" s="1"/>
      <c r="N100" s="1"/>
      <c r="O100" s="1"/>
      <c r="P100" s="1"/>
      <c r="Q100" s="1"/>
    </row>
    <row r="101" spans="1:17" ht="13.5">
      <c r="A101" s="20" t="s">
        <v>109</v>
      </c>
      <c r="B101" s="22">
        <v>0</v>
      </c>
      <c r="C101" s="18">
        <v>0</v>
      </c>
      <c r="D101" s="22">
        <v>4000</v>
      </c>
      <c r="E101" s="18"/>
      <c r="F101" s="19"/>
      <c r="G101" s="19"/>
      <c r="H101" s="22"/>
      <c r="I101" s="22"/>
      <c r="J101" s="22"/>
      <c r="K101" s="20"/>
      <c r="L101" s="21" t="s">
        <v>119</v>
      </c>
      <c r="M101" s="1"/>
      <c r="N101" s="1"/>
      <c r="O101" s="1"/>
      <c r="P101" s="1"/>
      <c r="Q101" s="1"/>
    </row>
    <row r="102" spans="1:17" ht="12.75">
      <c r="A102" s="1" t="s">
        <v>38</v>
      </c>
      <c r="B102" s="9">
        <f>SUM(B89:B101)</f>
        <v>37484.88</v>
      </c>
      <c r="C102" s="9">
        <f>SUM(C89:C101)</f>
        <v>103885.23000000001</v>
      </c>
      <c r="D102" s="9">
        <f>SUM(D89:D101)</f>
        <v>121055.5</v>
      </c>
      <c r="E102" s="9">
        <f>SUM(E89:E98)</f>
        <v>32358.32</v>
      </c>
      <c r="F102" s="9">
        <f>SUM(F89:F98)</f>
        <v>21832.32</v>
      </c>
      <c r="G102" s="9">
        <f>SUM(G89:G98)</f>
        <v>138313.83</v>
      </c>
      <c r="H102" s="9">
        <f>SUM(H89:H98)</f>
        <v>139882.32</v>
      </c>
      <c r="I102" s="9">
        <f>SUM(I89:I98)</f>
        <v>33835.520000000004</v>
      </c>
      <c r="J102" s="9">
        <f>SUM(J90:J95)</f>
        <v>0</v>
      </c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1"/>
      <c r="C103" s="9"/>
      <c r="D103" s="11"/>
      <c r="E103" s="9"/>
      <c r="F103" s="11"/>
      <c r="G103" s="11"/>
      <c r="H103" s="11"/>
      <c r="I103" s="11"/>
      <c r="J103" s="11"/>
      <c r="K103" s="1"/>
      <c r="L103" s="1"/>
      <c r="M103" s="1"/>
      <c r="N103" s="1"/>
      <c r="O103" s="1"/>
      <c r="P103" s="1"/>
      <c r="Q103" s="1"/>
    </row>
    <row r="104" spans="1:17" ht="15">
      <c r="A104" s="1" t="s">
        <v>39</v>
      </c>
      <c r="B104" s="14">
        <f>+B85-B102</f>
        <v>-27884.879999999997</v>
      </c>
      <c r="C104" s="14">
        <f>+C85-C102</f>
        <v>-11259.23000000001</v>
      </c>
      <c r="D104" s="14">
        <f>+D85-D102</f>
        <v>-56755.5</v>
      </c>
      <c r="E104" s="14">
        <f>+E85-E102</f>
        <v>-9858.32</v>
      </c>
      <c r="F104" s="14">
        <f>+F85-F102</f>
        <v>-7532.32</v>
      </c>
      <c r="G104" s="14">
        <f>+G85-G102</f>
        <v>-106498.82999999999</v>
      </c>
      <c r="H104" s="14">
        <f>+H85-H102</f>
        <v>-125582.32</v>
      </c>
      <c r="I104" s="14">
        <f>+I85-I102</f>
        <v>-17560.520000000004</v>
      </c>
      <c r="J104" s="14">
        <f>+J85-J102</f>
        <v>6300</v>
      </c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1"/>
      <c r="C105" s="9"/>
      <c r="D105" s="11"/>
      <c r="E105" s="9"/>
      <c r="F105" s="11"/>
      <c r="G105" s="11"/>
      <c r="H105" s="11"/>
      <c r="I105" s="11"/>
      <c r="J105" s="11"/>
      <c r="K105" s="1"/>
      <c r="L105" s="1"/>
      <c r="M105" s="1"/>
      <c r="N105" s="1"/>
      <c r="O105" s="1"/>
      <c r="P105" s="1"/>
      <c r="Q105" s="1"/>
    </row>
    <row r="106" spans="1:17" ht="15">
      <c r="A106" s="1" t="s">
        <v>40</v>
      </c>
      <c r="B106" s="14">
        <f>+B78+B104</f>
        <v>-62294.045000000006</v>
      </c>
      <c r="C106" s="14">
        <f>+C78+C104</f>
        <v>-55097.54000000001</v>
      </c>
      <c r="D106" s="14">
        <f>+D78+D104</f>
        <v>-57021.83499999996</v>
      </c>
      <c r="E106" s="14">
        <f>+E78+E104</f>
        <v>-1133.5000000000218</v>
      </c>
      <c r="F106" s="14">
        <f>+F78+F104</f>
        <v>23704.579999999994</v>
      </c>
      <c r="G106" s="14">
        <f>+G78+G104</f>
        <v>-80250.05999999997</v>
      </c>
      <c r="H106" s="14">
        <f>+H78+H104</f>
        <v>-100330.32</v>
      </c>
      <c r="I106" s="14">
        <f>+I78+I104</f>
        <v>14151.629999999961</v>
      </c>
      <c r="J106" s="14">
        <f>+J78+J104</f>
        <v>201.60000000000582</v>
      </c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1"/>
      <c r="C107" s="9"/>
      <c r="D107" s="11"/>
      <c r="E107" s="9"/>
      <c r="F107" s="11"/>
      <c r="G107" s="11"/>
      <c r="H107" s="11"/>
      <c r="I107" s="11"/>
      <c r="J107" s="11"/>
      <c r="K107" s="1"/>
      <c r="L107" s="1"/>
      <c r="M107" s="1"/>
      <c r="N107" s="1"/>
      <c r="O107" s="1"/>
      <c r="P107" s="1"/>
      <c r="Q107" s="1"/>
    </row>
    <row r="108" spans="1:12" ht="12.75">
      <c r="A108" t="s">
        <v>85</v>
      </c>
      <c r="B108" s="17">
        <f>(C108+B106)</f>
        <v>2493.974999999984</v>
      </c>
      <c r="C108" s="15">
        <f>(E108+C106)</f>
        <v>64788.01999999999</v>
      </c>
      <c r="D108" s="17">
        <f>(E108+D106)</f>
        <v>62863.725000000035</v>
      </c>
      <c r="E108" s="15">
        <f>(G108+E106)</f>
        <v>119885.56</v>
      </c>
      <c r="F108" s="17">
        <f>(G108+F106)</f>
        <v>144723.64</v>
      </c>
      <c r="G108" s="17">
        <f>(I108+G106)</f>
        <v>121019.06000000003</v>
      </c>
      <c r="H108" s="17">
        <f>(I108+H106)</f>
        <v>100938.79999999999</v>
      </c>
      <c r="I108" s="17">
        <v>201269.12</v>
      </c>
      <c r="J108" s="17">
        <v>87202</v>
      </c>
      <c r="L108" t="s">
        <v>99</v>
      </c>
    </row>
    <row r="109" spans="8:12" ht="12.75">
      <c r="H109" s="17"/>
      <c r="I109" s="17"/>
      <c r="J109" s="17"/>
      <c r="L109" t="s">
        <v>133</v>
      </c>
    </row>
    <row r="110" spans="1:12" ht="12.75">
      <c r="A110" s="23" t="s">
        <v>120</v>
      </c>
      <c r="B110" s="23"/>
      <c r="C110" s="23"/>
      <c r="D110" s="23"/>
      <c r="E110" s="23"/>
      <c r="F110" s="23"/>
      <c r="G110" s="23"/>
      <c r="H110" s="23"/>
      <c r="I110" s="23"/>
      <c r="L110" t="s">
        <v>135</v>
      </c>
    </row>
    <row r="111" spans="1:9" ht="12.75">
      <c r="A111" s="23" t="s">
        <v>121</v>
      </c>
      <c r="B111" s="23"/>
      <c r="C111" s="23"/>
      <c r="D111" s="23"/>
      <c r="E111" s="23"/>
      <c r="F111" s="23"/>
      <c r="G111" s="23"/>
      <c r="H111" s="23"/>
      <c r="I111" s="23"/>
    </row>
    <row r="112" spans="1:9" ht="12.75">
      <c r="A112" s="23" t="s">
        <v>122</v>
      </c>
      <c r="B112" s="23"/>
      <c r="C112" s="23"/>
      <c r="D112" s="23"/>
      <c r="E112" s="23"/>
      <c r="F112" s="23"/>
      <c r="G112" s="23"/>
      <c r="H112" s="23"/>
      <c r="I112" s="23"/>
    </row>
  </sheetData>
  <hyperlinks>
    <hyperlink ref="L10" r:id="rId1" display="1@ $125"/>
  </hyperlinks>
  <printOptions gridLines="1"/>
  <pageMargins left="0.25" right="0.25" top="0.5" bottom="0.75" header="0.25" footer="0.25"/>
  <pageSetup fitToHeight="3" horizontalDpi="360" verticalDpi="360" orientation="landscape" scale="92" r:id="rId2"/>
  <headerFooter alignWithMargins="0">
    <oddFooter>&amp;RDPRC Budget 2020
  Page &amp;P</oddFooter>
  </headerFooter>
  <rowBreaks count="1" manualBreakCount="1"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Jenni F</cp:lastModifiedBy>
  <cp:lastPrinted>2020-05-04T16:38:43Z</cp:lastPrinted>
  <dcterms:created xsi:type="dcterms:W3CDTF">1997-04-28T19:55:37Z</dcterms:created>
  <dcterms:modified xsi:type="dcterms:W3CDTF">2021-01-26T04:45:56Z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